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9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total!$A$1:$G$33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H5" i="13" l="1"/>
  <c r="H4" i="13"/>
  <c r="H3" i="13"/>
  <c r="F3" i="17"/>
  <c r="F3" i="18"/>
  <c r="F3" i="19"/>
  <c r="F3" i="20"/>
  <c r="F3" i="21"/>
  <c r="F3" i="22"/>
  <c r="F3" i="24"/>
  <c r="F3" i="25"/>
  <c r="F3" i="26"/>
  <c r="F3" i="27"/>
  <c r="H4" i="9" l="1"/>
  <c r="H3" i="9"/>
  <c r="H11" i="6"/>
  <c r="H10" i="6"/>
  <c r="H9" i="6"/>
  <c r="H8" i="6"/>
  <c r="H7" i="6"/>
  <c r="H6" i="6"/>
  <c r="H5" i="6"/>
  <c r="C23" i="23" l="1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H20" i="27"/>
  <c r="G20" i="27" s="1"/>
  <c r="F20" i="26"/>
  <c r="D20" i="26"/>
  <c r="B20" i="26"/>
  <c r="A20" i="26" s="1"/>
  <c r="H20" i="26"/>
  <c r="G20" i="26" s="1"/>
  <c r="F20" i="25"/>
  <c r="D20" i="25"/>
  <c r="B20" i="25"/>
  <c r="A20" i="25" s="1"/>
  <c r="H20" i="25"/>
  <c r="G20" i="25" s="1"/>
  <c r="F20" i="24"/>
  <c r="D20" i="24"/>
  <c r="B20" i="24"/>
  <c r="A20" i="24" s="1"/>
  <c r="H20" i="24"/>
  <c r="G20" i="24" s="1"/>
  <c r="C20" i="26" l="1"/>
  <c r="C20" i="24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34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H20" i="22"/>
  <c r="G20" i="22" s="1"/>
  <c r="F20" i="21"/>
  <c r="D20" i="21"/>
  <c r="B20" i="21"/>
  <c r="A20" i="21" s="1"/>
  <c r="H20" i="21"/>
  <c r="G20" i="21" s="1"/>
  <c r="F20" i="20"/>
  <c r="D20" i="20"/>
  <c r="B20" i="20"/>
  <c r="A20" i="20" s="1"/>
  <c r="H20" i="20"/>
  <c r="G20" i="20" s="1"/>
  <c r="F20" i="19"/>
  <c r="D20" i="19"/>
  <c r="B20" i="19"/>
  <c r="A20" i="19" s="1"/>
  <c r="H20" i="19"/>
  <c r="G20" i="19" s="1"/>
  <c r="F20" i="18"/>
  <c r="D20" i="18"/>
  <c r="B20" i="18"/>
  <c r="A20" i="18" s="1"/>
  <c r="H20" i="18"/>
  <c r="G20" i="18" s="1"/>
  <c r="F20" i="17"/>
  <c r="D20" i="17"/>
  <c r="B20" i="17"/>
  <c r="A20" i="17" s="1"/>
  <c r="H20" i="17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I8" i="24" l="1"/>
  <c r="I16" i="24"/>
  <c r="I15" i="24"/>
  <c r="I13" i="24"/>
  <c r="I14" i="24"/>
  <c r="C20" i="14"/>
  <c r="I5" i="14" s="1"/>
  <c r="E20" i="28"/>
  <c r="E3" i="28" s="1"/>
  <c r="F27" i="23" s="1"/>
  <c r="G27" i="23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I5" i="24"/>
  <c r="I9" i="24"/>
  <c r="C20" i="22"/>
  <c r="C20" i="20"/>
  <c r="C20" i="18"/>
  <c r="C20" i="12"/>
  <c r="I9" i="12" s="1"/>
  <c r="C20" i="9"/>
  <c r="I7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4" i="20"/>
  <c r="I12" i="20"/>
  <c r="I17" i="20"/>
  <c r="I11" i="20"/>
  <c r="I16" i="20"/>
  <c r="I14" i="22"/>
  <c r="I17" i="22"/>
  <c r="I16" i="22"/>
  <c r="C20" i="19"/>
  <c r="C20" i="21"/>
  <c r="I15" i="12"/>
  <c r="I14" i="12"/>
  <c r="I13" i="12"/>
  <c r="I17" i="12"/>
  <c r="I11" i="12"/>
  <c r="I16" i="12"/>
  <c r="I16" i="16"/>
  <c r="I17" i="16"/>
  <c r="I15" i="14"/>
  <c r="I9" i="14"/>
  <c r="I16" i="14"/>
  <c r="I14" i="14"/>
  <c r="I8" i="14"/>
  <c r="I10" i="14"/>
  <c r="I13" i="14"/>
  <c r="I7" i="14"/>
  <c r="I12" i="14"/>
  <c r="I6" i="14"/>
  <c r="I17" i="14"/>
  <c r="I11" i="14"/>
  <c r="I4" i="14"/>
  <c r="I15" i="18"/>
  <c r="I9" i="18"/>
  <c r="I14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E3" i="17" s="1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3" i="9"/>
  <c r="I5" i="9"/>
  <c r="I11" i="9"/>
  <c r="I17" i="9"/>
  <c r="I15" i="6"/>
  <c r="I14" i="6"/>
  <c r="I7" i="6"/>
  <c r="I17" i="6"/>
  <c r="I16" i="6"/>
  <c r="I12" i="6"/>
  <c r="I12" i="5"/>
  <c r="I17" i="5"/>
  <c r="I11" i="5"/>
  <c r="I16" i="5"/>
  <c r="I8" i="5"/>
  <c r="I13" i="5"/>
  <c r="I15" i="5"/>
  <c r="I14" i="5"/>
  <c r="A20" i="4"/>
  <c r="C20" i="4" s="1"/>
  <c r="C20" i="1"/>
  <c r="H22" i="28" l="1"/>
  <c r="H23" i="28" s="1"/>
  <c r="E20" i="27"/>
  <c r="E3" i="27" s="1"/>
  <c r="F26" i="23" s="1"/>
  <c r="G26" i="23" s="1"/>
  <c r="H22" i="26"/>
  <c r="H23" i="26" s="1"/>
  <c r="E3" i="26"/>
  <c r="F25" i="23" s="1"/>
  <c r="G25" i="23" s="1"/>
  <c r="I15" i="16"/>
  <c r="I12" i="16"/>
  <c r="I14" i="16"/>
  <c r="I11" i="16"/>
  <c r="I13" i="16"/>
  <c r="I10" i="16"/>
  <c r="I8" i="16"/>
  <c r="I6" i="16"/>
  <c r="I3" i="14"/>
  <c r="E20" i="14" s="1"/>
  <c r="E3" i="14" s="1"/>
  <c r="F14" i="23" s="1"/>
  <c r="G14" i="23" s="1"/>
  <c r="I6" i="18"/>
  <c r="I3" i="18"/>
  <c r="I5" i="20"/>
  <c r="I13" i="20"/>
  <c r="I3" i="22"/>
  <c r="E3" i="22"/>
  <c r="I12" i="9"/>
  <c r="I8" i="9"/>
  <c r="I6" i="9"/>
  <c r="I6" i="6"/>
  <c r="I5" i="6"/>
  <c r="I15" i="22"/>
  <c r="I13" i="22"/>
  <c r="I10" i="22"/>
  <c r="I8" i="18"/>
  <c r="I3" i="6"/>
  <c r="E20" i="24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F29" i="23" s="1"/>
  <c r="G29" i="23" s="1"/>
  <c r="E20" i="29"/>
  <c r="H22" i="29" s="1"/>
  <c r="H23" i="29" s="1"/>
  <c r="E20" i="25"/>
  <c r="E20" i="22"/>
  <c r="H22" i="22" s="1"/>
  <c r="H23" i="22" s="1"/>
  <c r="I11" i="22"/>
  <c r="I12" i="22"/>
  <c r="I9" i="22"/>
  <c r="I6" i="22"/>
  <c r="I5" i="22"/>
  <c r="I8" i="22"/>
  <c r="I4" i="22"/>
  <c r="I7" i="22"/>
  <c r="I4" i="9"/>
  <c r="E20" i="9" s="1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H22" i="27" l="1"/>
  <c r="H23" i="27" s="1"/>
  <c r="H22" i="14"/>
  <c r="H23" i="14" s="1"/>
  <c r="E20" i="18"/>
  <c r="E3" i="24"/>
  <c r="F23" i="23" s="1"/>
  <c r="G23" i="23" s="1"/>
  <c r="H22" i="25"/>
  <c r="H23" i="25" s="1"/>
  <c r="E3" i="25"/>
  <c r="F24" i="23" s="1"/>
  <c r="G24" i="23" s="1"/>
  <c r="E20" i="12"/>
  <c r="H22" i="12" s="1"/>
  <c r="H23" i="12" s="1"/>
  <c r="E20" i="16"/>
  <c r="H22" i="16" s="1"/>
  <c r="H23" i="16" s="1"/>
  <c r="E20" i="8"/>
  <c r="H22" i="8" s="1"/>
  <c r="H23" i="8" s="1"/>
  <c r="E20" i="6"/>
  <c r="H22" i="6" s="1"/>
  <c r="H23" i="6" s="1"/>
  <c r="H22" i="24"/>
  <c r="H23" i="24" s="1"/>
  <c r="E20" i="20"/>
  <c r="E20" i="5"/>
  <c r="E3" i="5" s="1"/>
  <c r="F5" i="23" s="1"/>
  <c r="G5" i="23" s="1"/>
  <c r="H22" i="30"/>
  <c r="H23" i="30" s="1"/>
  <c r="E3" i="29"/>
  <c r="F28" i="23" s="1"/>
  <c r="G28" i="23" s="1"/>
  <c r="F39" i="23" s="1"/>
  <c r="F22" i="23"/>
  <c r="G22" i="23" s="1"/>
  <c r="E20" i="21"/>
  <c r="E20" i="19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H22" i="18" l="1"/>
  <c r="H23" i="18" s="1"/>
  <c r="E3" i="18"/>
  <c r="F18" i="23" s="1"/>
  <c r="G18" i="23" s="1"/>
  <c r="H22" i="19"/>
  <c r="H23" i="19" s="1"/>
  <c r="E3" i="19"/>
  <c r="F19" i="23" s="1"/>
  <c r="G19" i="23" s="1"/>
  <c r="H22" i="20"/>
  <c r="H23" i="20" s="1"/>
  <c r="E3" i="20"/>
  <c r="F20" i="23" s="1"/>
  <c r="G20" i="23" s="1"/>
  <c r="H22" i="21"/>
  <c r="H23" i="21" s="1"/>
  <c r="E3" i="21"/>
  <c r="F21" i="23" s="1"/>
  <c r="G21" i="23" s="1"/>
  <c r="E3" i="12"/>
  <c r="F12" i="23" s="1"/>
  <c r="G12" i="23" s="1"/>
  <c r="E3" i="6"/>
  <c r="F6" i="23" s="1"/>
  <c r="G6" i="23" s="1"/>
  <c r="E3" i="16"/>
  <c r="F16" i="23" s="1"/>
  <c r="G16" i="23" s="1"/>
  <c r="E3" i="8"/>
  <c r="F8" i="23" s="1"/>
  <c r="G8" i="23" s="1"/>
  <c r="E3" i="15"/>
  <c r="F15" i="23" s="1"/>
  <c r="G15" i="23" s="1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F17" i="23"/>
  <c r="G17" i="23" s="1"/>
  <c r="E3" i="1"/>
  <c r="F3" i="23" s="1"/>
  <c r="G3" i="23" s="1"/>
  <c r="H22" i="1"/>
  <c r="H23" i="1" s="1"/>
  <c r="F38" i="23" l="1"/>
  <c r="F37" i="23"/>
  <c r="F36" i="23"/>
  <c r="F32" i="23"/>
</calcChain>
</file>

<file path=xl/sharedStrings.xml><?xml version="1.0" encoding="utf-8"?>
<sst xmlns="http://schemas.openxmlformats.org/spreadsheetml/2006/main" count="984" uniqueCount="229">
  <si>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</si>
  <si>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</si>
  <si>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</si>
  <si>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</si>
  <si>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</si>
  <si>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</si>
  <si>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</si>
  <si>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</si>
  <si>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</si>
  <si>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</si>
  <si>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</si>
  <si>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</si>
  <si>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</si>
  <si>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</si>
  <si>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</si>
  <si>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</si>
  <si>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</si>
  <si>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</si>
  <si>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</si>
  <si>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</si>
  <si>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</si>
  <si>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</si>
  <si>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</si>
  <si>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</si>
  <si>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</si>
  <si>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</si>
  <si>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</si>
  <si>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</si>
  <si>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</si>
  <si>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</si>
  <si>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</si>
  <si>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</si>
  <si>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</si>
  <si>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</si>
  <si>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n/a</t>
  </si>
  <si>
    <t>SMART SOLUTIONS - SOLUCOES INTELIGENTES EM COMERCIO E SERVICOS LTDA</t>
  </si>
  <si>
    <t>FITA ADESIVA
Em polipropileno;
Dimensões: 48mm x 50m – largura x comprimento;
Incolor;
Com impressão ao longo do comprimento, com intervalos regulares de 5 cm, da inscrição ‘TRE-BA’
Tamanho aproximado da fonte: 1 cm (+ 0,2cm);
Acondicionadas em caixas;
É obrigatório o fornecimento de prova para exame antes da confecção final.</t>
  </si>
  <si>
    <t>rolo</t>
  </si>
  <si>
    <t>FITA ADESIVA
Em polipropileno;
Dimensões: 48mm x 50m – largura x comprimento;
Incolor;
Sem impressão;
Acondicionadas em caixas com até 100 unidades.</t>
  </si>
  <si>
    <t>FOLHA ISOPOR
Comprimento: 1 m;
Largura: 0,50 m;
Espessura: 25 mm.
Podendo variar em +/- 0,5cm</t>
  </si>
  <si>
    <t>SACO PLÁSTICO
Em polipropileno;
Transparente;
Dimensão: 30 x 40 cm (largura x altura);
Espessura mínima de 6 micras;
Embalagem: pacote com 100 unidades.</t>
  </si>
  <si>
    <t>pacote</t>
  </si>
  <si>
    <t>CAIXA ARQUIVO
Confeccionadas em papelão;
Parede simples;
Paredes externas na cor branca;
Baixa acidez (ph acima de 6);
Dimensões da caixa montada: (14 x 24 x 38) cm, correspondendo respectivamente a largura, altura e profundidade (podendo variar em +/- 1 cm);
Em fardos cintados com duas fitas;
Estritamente conforme modelo disponível na Seção de Gestão de Almoxarifado do TRE-BA;
É obrigatório o fornecimento de prova para exame antes da confecção final.</t>
  </si>
  <si>
    <t>CAIXA DE PAPELÃO
De parede simples;
Confeccionadas em Kraft Gramatura: 450g/m2;
Dimensões da caixa montada: (37 x 29 x 24,5) cm (comprimento x largura x altura). (podendo variar em +/- 0,5cm);
Embalagem: fardo com 25 unidades, cintados com 2 fitas;
Conforme modelo disponível na Seção de Gestão de Almoxarifado do TRE-BA
É obrigatório o fornecimento de prova para exame antes da confecção final.</t>
  </si>
  <si>
    <t>CAIXA DE PAPELÃO
De parede simples;
Confeccionadas em Kraft Gramatura: 450 g/m2;
Dimensões da caixa montada: (37 x 29 x 12,5) cm (comprimento x largura x altura). (podendo variar em +/- 0,5cm);
Embalagem: fardo com 25 unidades, cintados com 2 fitas;
Conforme modelo disponível na Seção de Gestão de Almoxarifado do TRE-BA;
É obrigatório o fornecimento de prova para exame antes da confecção final.</t>
  </si>
  <si>
    <t>BARBANTE DE ALGODÃO
Cor branca;
Rolo com 250g;
N.º 8;
Em embalagem individual;
Acondicionado em embalagens com até 20 unidades.</t>
  </si>
  <si>
    <t>FITILHO
Em nylon;
Rolo com 1000g;
Embalados em fardos com até 25 unidades.</t>
  </si>
  <si>
    <t>PAPEL EMBRULHO
Apresentação: Folha
Cor: parda
Dimensões mínimas: 96 cm x 66 cm,
Tipo de papel: Kraft
Gramatura mínima 80 g/m2
Para embalagem em geral     
Acondicionados em pacotes com até 100 folhas.</t>
  </si>
  <si>
    <t>PAPEL EMBRULHO
Cor: Branco
Apresentação: Folha
Dimensões mínimas: 96 cm x 66 cm,
Em Kraft, Gramatura mínima 80 g/m2,
Para embalagem em geral
Acondicionados em pacotes com até 100 folhas.</t>
  </si>
  <si>
    <t>PLÁSTICO BOLHA
Bobina 1,30 x 100 metros;
Bolhas com, no máximo, 1cm.</t>
  </si>
  <si>
    <t>FILME PARA EMBALAGEM, EM POLIETILENO, TIPO STRETCH
Para aplicação manual;
Para vedação de paletes e proteção do material;
Isento de partículas estranhas, ranhuras, furos e deformações;
Inodoro, incolor e com transparência;
Dimensões: Largura 500mm; Espessura 0,025mm (25 micra);
Peso aproximado de 4,5kg admitida variação de, no máximo, 10%.</t>
  </si>
  <si>
    <t>CADEADO
Corpo em latão maciço;
Haste em aço cromado;
Cor amarelo bronze;
Largura: 50 mm;
Altura: 80 mm;
Acondicionados individualmente em caixa de papelão.</t>
  </si>
  <si>
    <t>CADEADO
Corpo em latão maciço;
Haste em aço cromado;
Cor amarelo bronze;
Largura: 20 mm;
Altura: 40 mm;
Acondicionados individualmente em caixa de papelão.</t>
  </si>
  <si>
    <t>PALETE EM MADEIRA
PBR-I – padrão brasileiro;
Em madeira de reflorestamento;
Não reversível;
Dupla face;
Quatro entradas, que permitam movimentação com paleteira ou empilhadeira;
Dimensões: 1200 mm x 1000 mm x 148 mm (comprimento x largura x altura);
Capacidade de carga: Dinâmica – 1.500kg;
Estática – 3.000kg;
Espessura da madeira: 24 mm para a face superior, face inferior e tábua de ligação; 76 mm para o bloco;
Conforme modelo constante do anexo B.2</t>
  </si>
  <si>
    <t>PALETE EM PLÁSTICO
Na cor preta, vazado
Alta durabilidade e alta densidade;
Capacidade mínima de carga: dinâmica de 1.500Kg; estática de 3.000Kg;
Medidas aproximadas: 1200mm x 1000mm de área superior e altura de 170mm;
Fendas nas laterais para manuseio por meio de carro plataforma;
Com runner (sapata e deslizante)
Para uso em estante porta palete.</t>
  </si>
  <si>
    <t>CONE PARA SINALIZAÇÃO
Confeccionado em PVC flexível moldado (sem emendas)
Predominantemente na cor laranja,
Com, no mínimo, 700 mm de altura e largura da base de 360 mm,
Com duas faixas brancas
Refletividade conforme películas tipo II (NBR 14644 da ABNT).</t>
  </si>
  <si>
    <t>CORRENTE SOLDADA 
Material: ferro galvanizado
Com elos curtos e soldados;
Bitola: ¼ polegada</t>
  </si>
  <si>
    <t>metro</t>
  </si>
  <si>
    <t>LUVA PARA PROCEDIMENTO NÃO CIRÚRGICO
Composição: Látex de borracha natural; 
Tamanho: M – Médio; 
Não Estéril; 
Com pó bioabsorvível; Ambidestra; Cor: Creme; Embalagem com 100 unidades; Prazo de validade não inferior a 12 meses contados do recebimento definitivo</t>
  </si>
  <si>
    <t>caixa</t>
  </si>
  <si>
    <t>LUVA PARA PROCEDIMENTO NÃO CIRÚRGICO
Composição: Látex de borracha natural; 
Tamanho: G – Grande; 
Não Estéril; 
Com pó bioabsorvível; Ambidestra; Cor: Creme; Embalagem com 100 unidades; Prazo de validade não inferior a 12 meses contados do recebimento definitivo.</t>
  </si>
  <si>
    <t>REMOVEDOR DE ADESIVOS E RESÍDUOS DE COLAS E LACRES
Tipo: Solvente líquido, removedor de cola de etiquetas e adesivos, dentre outras colas pegajosas;
Produto que permita aplicação em superfícies de acrílico, metal, PVC e demais tipo de plástico;
Isento de solventes nocivos e metais pesados;
Acondicionados em frascos de 120 ml, com dosador, podendo variar em até 20ml para mais ou menos.
Embalagem com impressão do nome do fabricante e indicação de registro na ANVISA/MS;
Não inflamável;
Prazo de validade mínimo de 18 meses.
O material deverá estar acondicionado em caixas com até 12 unidades.</t>
  </si>
  <si>
    <t>frasco</t>
  </si>
  <si>
    <t>LAD SOLUCOES INTEGRADAS LTDA</t>
  </si>
  <si>
    <t>AMAR TRANSPORTES DE CARGAS E COMERCIO DE ARMARINHOS EM GERAL LTDA</t>
  </si>
  <si>
    <t>HORTI FOODS DISTRIBUIDORA DE ALIMENTOS LTDA</t>
  </si>
  <si>
    <t>ONADIR SERRATO JUNIOR</t>
  </si>
  <si>
    <t>H&amp;N SOLUCOES LTDA</t>
  </si>
  <si>
    <t>EXCLUSIVA COMERCIO E SERVICOS, PAPELARIA E INFORMATICA LTDA</t>
  </si>
  <si>
    <t>CLAUDIO RIBEIRO DA SILVA LTDA</t>
  </si>
  <si>
    <t>E&amp;M COMERCIO DE MATERIAIS DE CONSTRUCAO LTDA</t>
  </si>
  <si>
    <t>EXATA SUPRIMENTOS LTDA</t>
  </si>
  <si>
    <t>SUPRIMAX COMERCIAL LTDA</t>
  </si>
  <si>
    <t>DIFERENCIAL COMERCIO ATACADISTA DE PRODUTOS ALIMENTICIOS LTDA</t>
  </si>
  <si>
    <t>LRF DISTRIBUIDORA LTDA</t>
  </si>
  <si>
    <t>NORPEL SUPRIMENTOS LTDA</t>
  </si>
  <si>
    <t>CENTAURO ARTIGOS MILITARES LTDA</t>
  </si>
  <si>
    <t>W C SILVA LTDA</t>
  </si>
  <si>
    <t>JCV COMERCIO DE EQUIPAMENTOS LTDA</t>
  </si>
  <si>
    <t>PABLO LUIS MARTINS</t>
  </si>
  <si>
    <t>P&amp;M COMERCIAL E DISTRIBUIDORA DE PRODUTOS E EQUIPAMENTOS LTDA</t>
  </si>
  <si>
    <t>ALP VARIEDADES E PRESENTES LTDA</t>
  </si>
  <si>
    <t>JOAO HENRIQUE RAMALHO</t>
  </si>
  <si>
    <t>PHIVE EMPREENDIMENTOS LTDA</t>
  </si>
  <si>
    <t>RAFA PAPER DISTRIBUIDORA LTDA</t>
  </si>
  <si>
    <t>M.I. COMERCIO DE MATERIAIS LTDA.</t>
  </si>
  <si>
    <t>A.M GRAFICA PAPELARIA E EDITORA LTDA</t>
  </si>
  <si>
    <t>RBQ COMERCIAL LTDA</t>
  </si>
  <si>
    <t>ARAUJO LICITACOES LTDA</t>
  </si>
  <si>
    <t>DOAC COMERCIO &amp; SERVICOS LTDA</t>
  </si>
  <si>
    <t>A. F. A. COMERCIO DE MERCADORIAS EM GERAL LTDA</t>
  </si>
  <si>
    <t>SUPER COMERCIAL APOLO LTDA</t>
  </si>
  <si>
    <t>PAPELARIA PAPEL CARTAZ LTDA</t>
  </si>
  <si>
    <t>VERA NILZA DUARTE ALENCAR 07743198871</t>
  </si>
  <si>
    <t>VENEZA CELULOSE INDUSTRIA E COMERCIO DE EMBALAGENS LTDA</t>
  </si>
  <si>
    <t>BRAS-ONDA PAPELAO ONDULADO LTDA</t>
  </si>
  <si>
    <t>COLMEIA COMERCIO VAREJISTA DE ARTIGOS DE PAPELARIA &amp; VARIEDADES LTDA</t>
  </si>
  <si>
    <t>EDUARDO GUERRA DO CARMO</t>
  </si>
  <si>
    <t>GFS PAPELARIA LTDA</t>
  </si>
  <si>
    <t>ARTECH EMBALAGENS LTDA</t>
  </si>
  <si>
    <t>MBEM COMERCIO E DISTRIBUICAO DE MATERIAIS ESCOLARES LTDA</t>
  </si>
  <si>
    <t>GR4 COMERCIO DE TINTAS LTDA</t>
  </si>
  <si>
    <t>41.313.947 ALEXANDER DE JESUS VIDAL</t>
  </si>
  <si>
    <t>BML COMERCIAL LTDA</t>
  </si>
  <si>
    <t>SUPRAPACK SOLUCOES LTDA</t>
  </si>
  <si>
    <t>AMP DO BRASIL COMERCIAL LTDA</t>
  </si>
  <si>
    <t>B. B. A. INDUSTRIA E COMERCIO IMPORTACAO E EXPORTACAO LTDA</t>
  </si>
  <si>
    <t>45.722.060 MATHEUS DOS SANTOS OLIVEIRA</t>
  </si>
  <si>
    <t>AGREGA DISTRIBUIDORA LTDA</t>
  </si>
  <si>
    <t>FORTZ COMERCIO DE MATERIAIS ELETRICOS LTDA</t>
  </si>
  <si>
    <t>DANJAC DISTRIBUIDORA LTDA</t>
  </si>
  <si>
    <t>ALEXANDRE FREIRE</t>
  </si>
  <si>
    <t>LLG COMERCIO SERVICOS E ALIMENTOS LTDA</t>
  </si>
  <si>
    <t>MARIA CRISTINA GOMES DE LUCENA</t>
  </si>
  <si>
    <t>COMERCIAL SPONCHIADO LTDA</t>
  </si>
  <si>
    <t>ENGBRAZ CONSTRUCOES LTDA</t>
  </si>
  <si>
    <t>46.754.870 CAINA MARTINS GODOY</t>
  </si>
  <si>
    <t>23.492.026 JOAO PAULO DE PAULA NASCIMENTO</t>
  </si>
  <si>
    <t>M J E DA SILVA COMERCIO LTDA</t>
  </si>
  <si>
    <t>ATACADAO DAS FECHADURAS LTDA</t>
  </si>
  <si>
    <t>EE-9 COMERCIO DE PECAS AUTOMOTIVAS LTDA</t>
  </si>
  <si>
    <t>RABELO MAGAZINE COMERCIO LTDA</t>
  </si>
  <si>
    <t>KILDARY ARAUJO DE CARVALHO</t>
  </si>
  <si>
    <t>JAE ILHA DESCARTAVEIS E LIMPEZA LTDA</t>
  </si>
  <si>
    <t>48.468.055 PHILIPE ALVES EVANGELISTA</t>
  </si>
  <si>
    <t>50.820.694 RAFAEL BERALDO DE SOUZA</t>
  </si>
  <si>
    <t>COLUNA CENTRAL COMERCIO E SERVICOS LTDA</t>
  </si>
  <si>
    <t>4A COMERCIO ATACADISTA DE MATERIAIS DE CONSTRUCAO LTDA</t>
  </si>
  <si>
    <t>30.814.456 GUILHERME DOS SANTOS RIBEIRO</t>
  </si>
  <si>
    <t>LIFE CLEAN COMERCIO DE EQUIPAMENTOS LTDA</t>
  </si>
  <si>
    <t>ACARVE COMERCIO E LICITACOES LTDA</t>
  </si>
  <si>
    <t>DAVANTI MAQUINAS, MOVEIS E EQUIPAMENTOS INDUSTRIAIS LTDA</t>
  </si>
  <si>
    <t>TAOPLAST COMERCIO DE PLASTICOS LTDA</t>
  </si>
  <si>
    <t>BEMESTAR PRODUTOS PARA INDUSTRIA E LAR LTDA</t>
  </si>
  <si>
    <t>MEGABOR INDUSTRIA E COMERCIO DE EQUIPAMENTOS E VESTUARIO LTDA</t>
  </si>
  <si>
    <t>G PLASTICOS COMERCIO VAREJISTA E ATACADISTA DE PLASTICOS LTDA</t>
  </si>
  <si>
    <t>LAR PLASTICOS INDUSTRIA E COMERCIO DE PRODUTOS LTDA</t>
  </si>
  <si>
    <t>PROSPEQTUS LTDA</t>
  </si>
  <si>
    <t>CENTRAL DAS VARIEDADES COMERCIO EM GERAL LTDA</t>
  </si>
  <si>
    <t>TH SAFE COMERCIO E SERVICO DE EQUIPAMENTOS DE SEGURANCA LTDA</t>
  </si>
  <si>
    <t>COMERCIAL TXV COMERCIO E SERVICO LTDA</t>
  </si>
  <si>
    <t>J FERNANDES NETO LTDA</t>
  </si>
  <si>
    <t>CENTERMAX TINTAS E EQUIPAMENTOS LTDA</t>
  </si>
  <si>
    <t>TRAJO COMERCIO E SERVICOS LTDA</t>
  </si>
  <si>
    <t>ALMADA MATERIAIS DE CONSTRUCAO LTDA</t>
  </si>
  <si>
    <t>DESTAQUE COMERCIO DE TINTAS LTDA</t>
  </si>
  <si>
    <t>GUASSO FERRAGENS LTDA</t>
  </si>
  <si>
    <t>CENTRAL SAT COMERCIO DE PRODUTOS ELETRONICOS LTDA</t>
  </si>
  <si>
    <t>W ENGENHARIA LTDA</t>
  </si>
  <si>
    <t>FASTMED COMERCIO DE MEDICAMENTOS E MATERIAIS HOSPITALARES LTDA</t>
  </si>
  <si>
    <t>GTMED DISTRIBUIDORA DE MATERIAIS E EQUIPAMENTOS HOSPITALARES E ODONTOLOGICOS LTD</t>
  </si>
  <si>
    <t>BIO SOLUTIO DISTRIBUICAO FARMACEUTICA LTDA</t>
  </si>
  <si>
    <t>MALVAGLIA COMERCIAL LTDA</t>
  </si>
  <si>
    <t>GERBRA COMERCIO LTDA</t>
  </si>
  <si>
    <t>CLAUDIONOR BREMENKAMP CAMPONEZ</t>
  </si>
  <si>
    <t>JP - INDUSTRIA E COMERCIO DE EMBALAGENS PLASTICAS LTDA</t>
  </si>
  <si>
    <t>MULTISUL COMERCIO E DISTRIBUICAO LTDA</t>
  </si>
  <si>
    <t>ROMA COMERCIAL LTDA</t>
  </si>
  <si>
    <t>TY BORTHOLIN COMERCIAL LTDA</t>
  </si>
  <si>
    <t>VIDOR &amp; HEINECKE REPRESENTACOES COMERCIAIS LTDA</t>
  </si>
  <si>
    <t xml:space="preserve">DANIELA FRASSI EMBALAGENS LTDA </t>
  </si>
  <si>
    <t xml:space="preserve">FREDERICO DELGADO DE ALMEIDA </t>
  </si>
  <si>
    <t>SUPRAPACK SOLUÇÕES LTDA</t>
  </si>
  <si>
    <t xml:space="preserve">QUIK DISTRIBUIDORA DE ARMARINHOS LTDA </t>
  </si>
  <si>
    <t xml:space="preserve">ESCOLHA CERTA COMERCIO LTDA </t>
  </si>
  <si>
    <t xml:space="preserve">NOGUEIRA NOBRE COMERCIO E SERVICOS LTDA </t>
  </si>
  <si>
    <t xml:space="preserve">DAGEAL - COMERCIO DE MATERIAL DE ESCRITORIO LTDA </t>
  </si>
  <si>
    <t xml:space="preserve">ALTO DA CANTAREIRA COMERCIO E SERVICOS LTDA </t>
  </si>
  <si>
    <t xml:space="preserve">ALIANCA COMERCIO E DISTRIBUICAO LTDA </t>
  </si>
  <si>
    <t>ENVELOPE PARDO
Papel Kraft natural monolúcido
Dimensões: 41 cm x 31 cm (±1 cm)
Face externa em alta lisura
Gramatura não inferior a 80 g/m2
Com Brasão da República 
Inscrição, em cor preta, conforme anexo B.2.
Conforme modelo disponível na Seção de Gestão de Almoxarifado do TRE-BA
Acondicionados em caixas de papelão com 250 unidades</t>
  </si>
  <si>
    <t>ENVELOPE BRANCO
Papel alcalino
Dimensões: 23 x 11,5 cm (±1 cm)
Gramatura não inferior a 75 g/m2
Tipo correspondência
Com visor tipo janela revestido em plástico transparente
Inscrição, em cor preta, conforme anexo B.3
Dimensões e posicionamento da janela conforme anexo B.3
Acondicionados em caixas de papelão com 1000 un.</t>
  </si>
  <si>
    <t>PASTA TIPO MALOTE
Material Bagum;
Cor: verde floresta;
Dimensões: 40 x 33 x 1,5 cm (LxAxP) – variação ± 1,0 cm na altura ou na largura;
Com zíper e dois cursores nº 3, em cor preta;
Com bolso em plástico cristal transparente, com abertura no lado direito;
Acabamento em debrum, na cor amarelo claro;
Estampa do brasão da república e demais inscrições na cor branca;
Inscrições: Justiça Eleitoral
Tribunal Regional Eleitoral da Bahia
Conforme modelo apresentado no Anexo B.4, disponível na Seção de Gestão de Almoxarifado do TRE/BA.
Necessário o fornecimento de prova.</t>
  </si>
  <si>
    <t xml:space="preserve">ANDRE MATIAS COMERCIO DE ARTIGOS DE PAPELARIA </t>
  </si>
  <si>
    <t xml:space="preserve">LUCAS O. SANTOS LTDA </t>
  </si>
  <si>
    <t xml:space="preserve">RAFA PAPER DISTRIBUIDORA LTDA </t>
  </si>
  <si>
    <t xml:space="preserve">RMR GRAFICA LTDA </t>
  </si>
  <si>
    <t xml:space="preserve">LRF DISTRIBUIDORA LTDA </t>
  </si>
  <si>
    <t xml:space="preserve">GRAZIELLA CHRISTINA CORREA SOARES </t>
  </si>
  <si>
    <t xml:space="preserve">BELLA'S GRAFICA LTDA </t>
  </si>
  <si>
    <t xml:space="preserve">GRAFICOVAN 872 ARTES GRAFICAS LTDA </t>
  </si>
  <si>
    <t xml:space="preserve">MAKTUB DISTRIBUIDORA LTDA </t>
  </si>
  <si>
    <t>CRIATIVA COMERCIO E SERVICO LTDA</t>
  </si>
  <si>
    <t>TCHE-PEL COMERCIAL</t>
  </si>
  <si>
    <t>BASE GRAF EDITORA E SERVICOS GRAFICOS LTDA</t>
  </si>
  <si>
    <t>D R F DA SILVA COMERCIO DE MATERIAIS DE CONSTRUCAO E SERVICOS</t>
  </si>
  <si>
    <t>RB FLEXO LTDA</t>
  </si>
  <si>
    <t>PRISMA PAPELARIALTDA</t>
  </si>
  <si>
    <t>36.463.427 MAIANA DOS SANTOS ALVES</t>
  </si>
  <si>
    <t>D &amp; R COMERCIO DE BOLSAS E ACESSORIOS LTDA</t>
  </si>
  <si>
    <t>CONFECCAO SINTONIA LTDA.</t>
  </si>
  <si>
    <t>EMPLAS MINEIRA LTDA</t>
  </si>
  <si>
    <t>WANDERLEI HACKE MASSANEIRO</t>
  </si>
  <si>
    <t>VAREJO BRINDES SOLUCAO EM IMPRESSOS GRAFICOS LTDA</t>
  </si>
  <si>
    <t>MALTA INDUSTRIA E COMERCIO DE PRODUTOS LTDA</t>
  </si>
  <si>
    <t>47.085.323 AUDINEIA GONCALVES DA SILVA</t>
  </si>
  <si>
    <t>VOXATRON COMERCIO DE INFORMATICA LTDA</t>
  </si>
  <si>
    <t>BELA VISTA TEXTIL LTDA</t>
  </si>
  <si>
    <t>BABINSKI BOLSAS LTDA</t>
  </si>
  <si>
    <t>ASOSEG INDUSTRIA E COMERCIO DE CONFECCOES E EPI S LTDA</t>
  </si>
  <si>
    <t>52.521.238 FLAVIO HENRIQUE FERREIRA SILVA</t>
  </si>
  <si>
    <t>RITA MARIA CONCEICAO SILVA</t>
  </si>
  <si>
    <t>48.440.352 GRACIELE ARAUJO BARBOSA RIOS</t>
  </si>
  <si>
    <t>ALPHA THERA DISTRIBUIDORA LTDA</t>
  </si>
  <si>
    <t>FIT-PEL INDUSTRIA E COMERCIO LTDA.</t>
  </si>
  <si>
    <t>ALEGRENSE DISTRIBUIDORA E REPRESENTACAO COMERCIAL LTDA</t>
  </si>
  <si>
    <t>MAX ESCOLAR LTDA</t>
  </si>
  <si>
    <t>ELEVATE UTILIDADES LTDA</t>
  </si>
  <si>
    <t>51.279.402 CLEIDIANE RODRIGUES DOS SANTOS</t>
  </si>
  <si>
    <t>49.152.210 GABRIEL SILVA PINHEIRO</t>
  </si>
  <si>
    <t>JSR COMERCIO DE MATERIAIS ELETRICOS E CONSTRUCAO LTDA</t>
  </si>
  <si>
    <t>RC TEIVE COMERCIO E DISTRIBUICAO LTDA</t>
  </si>
  <si>
    <t>ALEA COMERCIAL LTDA</t>
  </si>
  <si>
    <t>51.822.573 MURILO DE JESUS SANTOS</t>
  </si>
  <si>
    <t>M. DE N. D. MOREIRA LTDA</t>
  </si>
  <si>
    <t>PLANEJAR DISTRIBUIDORA E IMPORTADORA LTDA</t>
  </si>
  <si>
    <t>ALPHAMED COMERCIO DE PRODUTOS HOSPITALARES LTDA</t>
  </si>
  <si>
    <t>AKITEM COMERCIO E DISTRIBUICAO LTDA</t>
  </si>
  <si>
    <t>SILITEC PRODUTOS HOSPITALARES LTDA</t>
  </si>
  <si>
    <t>CIENTIFICA MEDICA HOSPITALAR LTDA</t>
  </si>
  <si>
    <t>FACIL PRODUTOS HOSPITALARES LTDA</t>
  </si>
  <si>
    <t>NOROMED DISTRIBUIDORA DE MEDICAMENTOS E MATERIAIS HOSPITALARES LTDA</t>
  </si>
  <si>
    <t>MEDICAL SUTURE COMERCIO DE MATERIAL HOSPITALAR LTDA</t>
  </si>
  <si>
    <t xml:space="preserve">ALNETTO COMERCIAL E SERVICOS LTDA </t>
  </si>
  <si>
    <t xml:space="preserve">BW - PRODUTOS LTDA. </t>
  </si>
  <si>
    <t xml:space="preserve">AGRO RIOS - PRODUTOS AGROPECUARIOS LTDA </t>
  </si>
  <si>
    <t>ACHEI COMPONENTES ELETRÔNICOS</t>
  </si>
  <si>
    <t>FERRAMENTAS GERAIS</t>
  </si>
  <si>
    <t>FERREIRA COSTA</t>
  </si>
  <si>
    <t>LOJA DO MECÂNICO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</si>
</sst>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36</v>
      </c>
      <c r="C3" s="36" t="s">
        <v>37</v>
      </c>
      <c r="D3" s="36">
        <v>20000</v>
      </c>
      <c r="E3" s="37">
        <f>IF(C20&lt;=25%,D20,MIN(E20:F20))</f>
        <v>3.8</v>
      </c>
      <c r="F3" s="37">
        <f>MIN(H3:H17)</f>
        <v>3.23</v>
      </c>
      <c r="G3" s="5" t="s">
        <v>63</v>
      </c>
      <c r="H3" s="16">
        <v>5</v>
      </c>
      <c r="I3" s="17">
        <f>IF(H3="","",(IF($C$20&lt;25%,"n/a",IF(H3&lt;=($D$20+$A$20),H3,"Descartado"))))</f>
        <v>5</v>
      </c>
    </row>
    <row r="4" spans="1:9" x14ac:dyDescent="0.25">
      <c r="A4" s="38"/>
      <c r="B4" s="35"/>
      <c r="C4" s="36"/>
      <c r="D4" s="36"/>
      <c r="E4" s="37"/>
      <c r="F4" s="37"/>
      <c r="G4" s="5" t="s">
        <v>64</v>
      </c>
      <c r="H4" s="16">
        <v>3.23</v>
      </c>
      <c r="I4" s="17">
        <f t="shared" ref="I4:I17" si="0">IF(H4="","",(IF($C$20&lt;25%,"n/a",IF(H4&lt;=($D$20+$A$20),H4,"Descartado"))))</f>
        <v>3.23</v>
      </c>
    </row>
    <row r="5" spans="1:9" x14ac:dyDescent="0.25">
      <c r="A5" s="38"/>
      <c r="B5" s="35"/>
      <c r="C5" s="36"/>
      <c r="D5" s="36"/>
      <c r="E5" s="37"/>
      <c r="F5" s="37"/>
      <c r="G5" s="5" t="s">
        <v>65</v>
      </c>
      <c r="H5" s="16">
        <v>3.39</v>
      </c>
      <c r="I5" s="17">
        <f t="shared" si="0"/>
        <v>3.39</v>
      </c>
    </row>
    <row r="6" spans="1:9" x14ac:dyDescent="0.25">
      <c r="A6" s="38"/>
      <c r="B6" s="35"/>
      <c r="C6" s="36"/>
      <c r="D6" s="36"/>
      <c r="E6" s="37"/>
      <c r="F6" s="37"/>
      <c r="G6" s="5" t="s">
        <v>66</v>
      </c>
      <c r="H6" s="16">
        <v>3.4</v>
      </c>
      <c r="I6" s="17">
        <f t="shared" si="0"/>
        <v>3.4</v>
      </c>
    </row>
    <row r="7" spans="1:9" x14ac:dyDescent="0.25">
      <c r="A7" s="38"/>
      <c r="B7" s="35"/>
      <c r="C7" s="36"/>
      <c r="D7" s="36"/>
      <c r="E7" s="37"/>
      <c r="F7" s="37"/>
      <c r="G7" s="5" t="s">
        <v>200</v>
      </c>
      <c r="H7" s="16">
        <v>3.42</v>
      </c>
      <c r="I7" s="17">
        <f t="shared" si="0"/>
        <v>3.42</v>
      </c>
    </row>
    <row r="8" spans="1:9" x14ac:dyDescent="0.25">
      <c r="A8" s="38"/>
      <c r="B8" s="35"/>
      <c r="C8" s="36"/>
      <c r="D8" s="36"/>
      <c r="E8" s="37"/>
      <c r="F8" s="37"/>
      <c r="G8" s="5" t="s">
        <v>201</v>
      </c>
      <c r="H8" s="16">
        <v>3.8</v>
      </c>
      <c r="I8" s="17">
        <f t="shared" si="0"/>
        <v>3.8</v>
      </c>
    </row>
    <row r="9" spans="1:9" x14ac:dyDescent="0.25">
      <c r="A9" s="38"/>
      <c r="B9" s="35"/>
      <c r="C9" s="36"/>
      <c r="D9" s="36"/>
      <c r="E9" s="37"/>
      <c r="F9" s="37"/>
      <c r="G9" s="5" t="s">
        <v>187</v>
      </c>
      <c r="H9" s="16">
        <v>5</v>
      </c>
      <c r="I9" s="17">
        <f t="shared" si="0"/>
        <v>5</v>
      </c>
    </row>
    <row r="10" spans="1:9" x14ac:dyDescent="0.25">
      <c r="A10" s="38"/>
      <c r="B10" s="35"/>
      <c r="C10" s="36"/>
      <c r="D10" s="36"/>
      <c r="E10" s="37"/>
      <c r="F10" s="37"/>
      <c r="G10" s="5" t="s">
        <v>202</v>
      </c>
      <c r="H10" s="16">
        <v>4</v>
      </c>
      <c r="I10" s="17">
        <f t="shared" si="0"/>
        <v>4</v>
      </c>
    </row>
    <row r="11" spans="1:9" x14ac:dyDescent="0.25">
      <c r="A11" s="38"/>
      <c r="B11" s="35"/>
      <c r="C11" s="36"/>
      <c r="D11" s="36"/>
      <c r="E11" s="37"/>
      <c r="F11" s="37"/>
      <c r="G11" s="5" t="s">
        <v>68</v>
      </c>
      <c r="H11" s="16">
        <v>18.5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203</v>
      </c>
      <c r="H12" s="16">
        <v>3.6</v>
      </c>
      <c r="I12" s="17">
        <f t="shared" si="0"/>
        <v>3.6</v>
      </c>
    </row>
    <row r="13" spans="1:9" x14ac:dyDescent="0.25">
      <c r="A13" s="38"/>
      <c r="B13" s="35"/>
      <c r="C13" s="36"/>
      <c r="D13" s="36"/>
      <c r="E13" s="37"/>
      <c r="F13" s="37"/>
      <c r="G13" s="5" t="s">
        <v>184</v>
      </c>
      <c r="H13" s="16">
        <v>4.17</v>
      </c>
      <c r="I13" s="17">
        <f t="shared" si="0"/>
        <v>4.17</v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4.4446323091608324</v>
      </c>
      <c r="B20" s="8">
        <f>COUNT(H3:H17)</f>
        <v>11</v>
      </c>
      <c r="C20" s="9">
        <f>IF(B20&lt;2,"n/a",(A20/D20))</f>
        <v>0.84983409352979578</v>
      </c>
      <c r="D20" s="10">
        <f>IFERROR(ROUND(AVERAGE(H3:H17),2),"")</f>
        <v>5.23</v>
      </c>
      <c r="E20" s="15">
        <f>IFERROR(ROUND(IF(B20&lt;2,"n/a",(IF(C20&lt;=25%,"n/a",AVERAGE(I3:I17)))),2),"n/a")</f>
        <v>3.9</v>
      </c>
      <c r="F20" s="10">
        <f>IFERROR(ROUND(MEDIAN(H3:H17),2),"")</f>
        <v>3.8</v>
      </c>
      <c r="G20" s="11" t="str">
        <f>IFERROR(INDEX(G3:G17,MATCH(H20,H3:H17,0)),"")</f>
        <v>AMAR TRANSPORTES DE CARGAS E COMERCIO DE ARMARINHOS EM GERAL LTDA</v>
      </c>
      <c r="H20" s="12">
        <f>F3</f>
        <v>3.23</v>
      </c>
    </row>
    <row r="22" spans="1:9" x14ac:dyDescent="0.25">
      <c r="G22" s="13" t="s">
        <v>20</v>
      </c>
      <c r="H22" s="14">
        <f>IF(C20&lt;=25%,D20,MIN(E20:F20))</f>
        <v>3.8</v>
      </c>
    </row>
    <row r="23" spans="1:9" x14ac:dyDescent="0.25">
      <c r="G23" s="13" t="s">
        <v>6</v>
      </c>
      <c r="H23" s="14">
        <f>ROUND(H22,2)*D3</f>
        <v>76000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47</v>
      </c>
      <c r="C3" s="36" t="s">
        <v>7</v>
      </c>
      <c r="D3" s="36">
        <v>2000</v>
      </c>
      <c r="E3" s="37">
        <f>IF(C20&lt;=25%,D20,MIN(E20:F20))</f>
        <v>1.02</v>
      </c>
      <c r="F3" s="37">
        <f>MIN(H3:H17)</f>
        <v>0.95</v>
      </c>
      <c r="G3" s="5" t="s">
        <v>163</v>
      </c>
      <c r="H3" s="16">
        <v>1.57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164</v>
      </c>
      <c r="H4" s="16">
        <v>0.95</v>
      </c>
      <c r="I4" s="17">
        <f t="shared" ref="I4:I17" si="0">IF(H4="","",(IF($C$20&lt;25%,"n/a",IF(H4&lt;=($D$20+$A$20),H4,"Descartado"))))</f>
        <v>0.95</v>
      </c>
    </row>
    <row r="5" spans="1:9" x14ac:dyDescent="0.25">
      <c r="A5" s="38"/>
      <c r="B5" s="35"/>
      <c r="C5" s="36"/>
      <c r="D5" s="36"/>
      <c r="E5" s="37"/>
      <c r="F5" s="37"/>
      <c r="G5" s="5" t="s">
        <v>165</v>
      </c>
      <c r="H5" s="16">
        <v>1.0900000000000001</v>
      </c>
      <c r="I5" s="17">
        <f t="shared" si="0"/>
        <v>1.0900000000000001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0.32516662395352514</v>
      </c>
      <c r="B20" s="8">
        <f>COUNT(H3:H17)</f>
        <v>3</v>
      </c>
      <c r="C20" s="9">
        <f>IF(B20&lt;2,"n/a",(A20/D20))</f>
        <v>0.27097218662793765</v>
      </c>
      <c r="D20" s="10">
        <f>IFERROR(ROUND(AVERAGE(H3:H17),2),"")</f>
        <v>1.2</v>
      </c>
      <c r="E20" s="15">
        <f>IFERROR(ROUND(IF(B20&lt;2,"n/a",(IF(C20&lt;=25%,"n/a",AVERAGE(I3:I17)))),2),"n/a")</f>
        <v>1.02</v>
      </c>
      <c r="F20" s="10">
        <f>IFERROR(ROUND(MEDIAN(H3:H17),2),"")</f>
        <v>1.0900000000000001</v>
      </c>
      <c r="G20" s="11" t="str">
        <f>IFERROR(INDEX(G3:G17,MATCH(H20,H3:H17,0)),"")</f>
        <v xml:space="preserve">ESCOLHA CERTA COMERCIO LTDA </v>
      </c>
      <c r="H20" s="12">
        <f>F3</f>
        <v>0.95</v>
      </c>
    </row>
    <row r="22" spans="1:9" x14ac:dyDescent="0.25">
      <c r="G22" s="13" t="s">
        <v>20</v>
      </c>
      <c r="H22" s="14">
        <f>IF(C20&lt;=25%,D20,MIN(E20:F20))</f>
        <v>1.02</v>
      </c>
    </row>
    <row r="23" spans="1:9" x14ac:dyDescent="0.25">
      <c r="G23" s="13" t="s">
        <v>6</v>
      </c>
      <c r="H23" s="14">
        <f>ROUND(H22,2)*D3</f>
        <v>2040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 t="s">
        <v>48</v>
      </c>
      <c r="C3" s="36" t="s">
        <v>7</v>
      </c>
      <c r="D3" s="36">
        <v>1000</v>
      </c>
      <c r="E3" s="37">
        <f>IF(C20&lt;=25%,D20,MIN(E20:F20))</f>
        <v>0.95</v>
      </c>
      <c r="F3" s="37">
        <f>MIN(H3:H17)</f>
        <v>0.67996000000000001</v>
      </c>
      <c r="G3" s="5" t="s">
        <v>172</v>
      </c>
      <c r="H3" s="16">
        <f>60.45/50</f>
        <v>1.2090000000000001</v>
      </c>
      <c r="I3" s="17">
        <f>IF(H3="","",(IF($C$20&lt;25%,"n/a",IF(H3&lt;=($D$20+$A$20),H3,"Descartado"))))</f>
        <v>1.2090000000000001</v>
      </c>
    </row>
    <row r="4" spans="1:9" x14ac:dyDescent="0.25">
      <c r="A4" s="38"/>
      <c r="B4" s="35"/>
      <c r="C4" s="36"/>
      <c r="D4" s="36"/>
      <c r="E4" s="37"/>
      <c r="F4" s="37"/>
      <c r="G4" s="5" t="s">
        <v>173</v>
      </c>
      <c r="H4" s="16">
        <f>96.05/100</f>
        <v>0.96050000000000002</v>
      </c>
      <c r="I4" s="17">
        <f t="shared" ref="I4:I17" si="0">IF(H4="","",(IF($C$20&lt;25%,"n/a",IF(H4&lt;=($D$20+$A$20),H4,"Descartado"))))</f>
        <v>0.96050000000000002</v>
      </c>
    </row>
    <row r="5" spans="1:9" x14ac:dyDescent="0.25">
      <c r="A5" s="38"/>
      <c r="B5" s="35"/>
      <c r="C5" s="36"/>
      <c r="D5" s="36"/>
      <c r="E5" s="37"/>
      <c r="F5" s="37"/>
      <c r="G5" s="5" t="s">
        <v>174</v>
      </c>
      <c r="H5" s="16">
        <f>169.99/250</f>
        <v>0.67996000000000001</v>
      </c>
      <c r="I5" s="17">
        <f t="shared" si="0"/>
        <v>0.67996000000000001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0.2646816525564249</v>
      </c>
      <c r="B20" s="8">
        <f>COUNT(H3:H17)</f>
        <v>3</v>
      </c>
      <c r="C20" s="9">
        <f>IF(B20&lt;2,"n/a",(A20/D20))</f>
        <v>0.27861226584886833</v>
      </c>
      <c r="D20" s="10">
        <f>IFERROR(ROUND(AVERAGE(H3:H17),2),"")</f>
        <v>0.95</v>
      </c>
      <c r="E20" s="15">
        <f>IFERROR(ROUND(IF(B20&lt;2,"n/a",(IF(C20&lt;=25%,"n/a",AVERAGE(I3:I17)))),2),"n/a")</f>
        <v>0.95</v>
      </c>
      <c r="F20" s="10">
        <f>IFERROR(ROUND(MEDIAN(H3:H17),2),"")</f>
        <v>0.96</v>
      </c>
      <c r="G20" s="11" t="str">
        <f>IFERROR(INDEX(G3:G17,MATCH(H20,H3:H17,0)),"")</f>
        <v xml:space="preserve">RAFA PAPER DISTRIBUIDORA LTDA </v>
      </c>
      <c r="H20" s="12">
        <f>F3</f>
        <v>0.67996000000000001</v>
      </c>
    </row>
    <row r="22" spans="1:9" x14ac:dyDescent="0.25">
      <c r="G22" s="13" t="s">
        <v>20</v>
      </c>
      <c r="H22" s="14">
        <f>IF(C20&lt;=25%,D20,MIN(E20:F20))</f>
        <v>0.95</v>
      </c>
    </row>
    <row r="23" spans="1:9" x14ac:dyDescent="0.25">
      <c r="G23" s="13" t="s">
        <v>6</v>
      </c>
      <c r="H23" s="14">
        <f>ROUND(H22,2)*D3</f>
        <v>950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 t="s">
        <v>169</v>
      </c>
      <c r="C3" s="36" t="s">
        <v>7</v>
      </c>
      <c r="D3" s="36">
        <v>75000</v>
      </c>
      <c r="E3" s="37">
        <f>IF(C20&lt;=25%,D20,MIN(E20:F20))</f>
        <v>1.1299999999999999</v>
      </c>
      <c r="F3" s="37">
        <f>MIN(H3:H17)</f>
        <v>0.7</v>
      </c>
      <c r="G3" s="5" t="s">
        <v>175</v>
      </c>
      <c r="H3" s="16">
        <v>0.7</v>
      </c>
      <c r="I3" s="17">
        <f>IF(H3="","",(IF($C$20&lt;25%,"n/a",IF(H3&lt;=($D$20+$A$20),H3,"Descartado"))))</f>
        <v>0.7</v>
      </c>
    </row>
    <row r="4" spans="1:9" x14ac:dyDescent="0.25">
      <c r="A4" s="38"/>
      <c r="B4" s="35"/>
      <c r="C4" s="36"/>
      <c r="D4" s="36"/>
      <c r="E4" s="37"/>
      <c r="F4" s="37"/>
      <c r="G4" s="5" t="s">
        <v>176</v>
      </c>
      <c r="H4" s="16">
        <v>1.56</v>
      </c>
      <c r="I4" s="17">
        <f t="shared" ref="I4:I17" si="0">IF(H4="","",(IF($C$20&lt;25%,"n/a",IF(H4&lt;=($D$20+$A$20),H4,"Descartado"))))</f>
        <v>1.56</v>
      </c>
    </row>
    <row r="5" spans="1:9" x14ac:dyDescent="0.25">
      <c r="A5" s="38"/>
      <c r="B5" s="35"/>
      <c r="C5" s="36"/>
      <c r="D5" s="36"/>
      <c r="E5" s="37"/>
      <c r="F5" s="37"/>
      <c r="G5" s="5" t="s">
        <v>177</v>
      </c>
      <c r="H5" s="16">
        <v>48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27.063823331771388</v>
      </c>
      <c r="B20" s="8">
        <f>COUNT(H3:H17)</f>
        <v>3</v>
      </c>
      <c r="C20" s="9">
        <f>IF(B20&lt;2,"n/a",(A20/D20))</f>
        <v>1.6157506466729188</v>
      </c>
      <c r="D20" s="10">
        <f>IFERROR(ROUND(AVERAGE(H3:H17),2),"")</f>
        <v>16.75</v>
      </c>
      <c r="E20" s="15">
        <f>IFERROR(ROUND(IF(B20&lt;2,"n/a",(IF(C20&lt;=25%,"n/a",AVERAGE(I3:I17)))),2),"n/a")</f>
        <v>1.1299999999999999</v>
      </c>
      <c r="F20" s="10">
        <f>IFERROR(ROUND(MEDIAN(H3:H17),2),"")</f>
        <v>1.56</v>
      </c>
      <c r="G20" s="11" t="str">
        <f>IFERROR(INDEX(G3:G17,MATCH(H20,H3:H17,0)),"")</f>
        <v xml:space="preserve">RMR GRAFICA LTDA </v>
      </c>
      <c r="H20" s="12">
        <f>F3</f>
        <v>0.7</v>
      </c>
    </row>
    <row r="22" spans="1:9" x14ac:dyDescent="0.25">
      <c r="G22" s="13" t="s">
        <v>20</v>
      </c>
      <c r="H22" s="14">
        <f>IF(C20&lt;=25%,D20,MIN(E20:F20))</f>
        <v>1.1299999999999999</v>
      </c>
    </row>
    <row r="23" spans="1:9" x14ac:dyDescent="0.25">
      <c r="G23" s="13" t="s">
        <v>6</v>
      </c>
      <c r="H23" s="14">
        <f>ROUND(H22,2)*D3</f>
        <v>84749.999999999985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 t="s">
        <v>170</v>
      </c>
      <c r="C3" s="36" t="s">
        <v>7</v>
      </c>
      <c r="D3" s="36">
        <v>100000</v>
      </c>
      <c r="E3" s="37">
        <f>IF(C20&lt;=25%,D20,MIN(E20:F20))</f>
        <v>0.27</v>
      </c>
      <c r="F3" s="37">
        <f>MIN(H3:H17)</f>
        <v>0.18</v>
      </c>
      <c r="G3" s="5" t="s">
        <v>178</v>
      </c>
      <c r="H3" s="16">
        <v>0.28999999999999998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179</v>
      </c>
      <c r="H4" s="16">
        <v>0.3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180</v>
      </c>
      <c r="H5" s="16">
        <v>0.4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181</v>
      </c>
      <c r="H6" s="16">
        <v>0.18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182</v>
      </c>
      <c r="H7" s="16">
        <v>0.19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183</v>
      </c>
      <c r="H8" s="16">
        <v>0.2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184</v>
      </c>
      <c r="H9" s="16">
        <v>0.26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 t="s">
        <v>185</v>
      </c>
      <c r="H10" s="16">
        <v>0.26</v>
      </c>
      <c r="I10" s="17" t="str">
        <f t="shared" si="0"/>
        <v>n/a</v>
      </c>
    </row>
    <row r="11" spans="1:9" x14ac:dyDescent="0.25">
      <c r="A11" s="38"/>
      <c r="B11" s="35"/>
      <c r="C11" s="36"/>
      <c r="D11" s="36"/>
      <c r="E11" s="37"/>
      <c r="F11" s="37"/>
      <c r="G11" s="5" t="s">
        <v>186</v>
      </c>
      <c r="H11" s="16">
        <v>0.28999999999999998</v>
      </c>
      <c r="I11" s="17" t="str">
        <f t="shared" si="0"/>
        <v>n/a</v>
      </c>
    </row>
    <row r="12" spans="1:9" x14ac:dyDescent="0.25">
      <c r="A12" s="38"/>
      <c r="B12" s="35"/>
      <c r="C12" s="36"/>
      <c r="D12" s="36"/>
      <c r="E12" s="37"/>
      <c r="F12" s="37"/>
      <c r="G12" s="5" t="s">
        <v>187</v>
      </c>
      <c r="H12" s="16">
        <v>0.3</v>
      </c>
      <c r="I12" s="17" t="str">
        <f t="shared" si="0"/>
        <v>n/a</v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6.5836497814240016E-2</v>
      </c>
      <c r="B20" s="8">
        <f>COUNT(H3:H17)</f>
        <v>10</v>
      </c>
      <c r="C20" s="9">
        <f>IF(B20&lt;2,"n/a",(A20/D20))</f>
        <v>0.24383888079348154</v>
      </c>
      <c r="D20" s="10">
        <f>IFERROR(ROUND(AVERAGE(H3:H17),2),"")</f>
        <v>0.27</v>
      </c>
      <c r="E20" s="15" t="str">
        <f>IFERROR(ROUND(IF(B20&lt;2,"n/a",(IF(C20&lt;=25%,"n/a",AVERAGE(I3:I17)))),2),"n/a")</f>
        <v>n/a</v>
      </c>
      <c r="F20" s="10">
        <f>IFERROR(ROUND(MEDIAN(H3:H17),2),"")</f>
        <v>0.28000000000000003</v>
      </c>
      <c r="G20" s="11" t="str">
        <f>IFERROR(INDEX(G3:G17,MATCH(H20,H3:H17,0)),"")</f>
        <v>CRIATIVA COMERCIO E SERVICO LTDA</v>
      </c>
      <c r="H20" s="12">
        <f>F3</f>
        <v>0.18</v>
      </c>
    </row>
    <row r="22" spans="1:9" x14ac:dyDescent="0.25">
      <c r="G22" s="13" t="s">
        <v>20</v>
      </c>
      <c r="H22" s="14">
        <f>IF(C20&lt;=25%,D20,MIN(E20:F20))</f>
        <v>0.27</v>
      </c>
    </row>
    <row r="23" spans="1:9" x14ac:dyDescent="0.25">
      <c r="G23" s="13" t="s">
        <v>6</v>
      </c>
      <c r="H23" s="14">
        <f>ROUND(H22,2)*D3</f>
        <v>27000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C3" sqref="C3:C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 t="s">
        <v>171</v>
      </c>
      <c r="C3" s="36" t="s">
        <v>7</v>
      </c>
      <c r="D3" s="36">
        <v>20000</v>
      </c>
      <c r="E3" s="37">
        <f>IF(C20&lt;=25%,D20,MIN(E20:F20))</f>
        <v>7.67</v>
      </c>
      <c r="F3" s="37">
        <f>MIN(H3:H17)</f>
        <v>5.8</v>
      </c>
      <c r="G3" s="5" t="s">
        <v>188</v>
      </c>
      <c r="H3" s="16">
        <v>6.69</v>
      </c>
      <c r="I3" s="17">
        <f>IF(H3="","",(IF($C$20&lt;25%,"n/a",IF(H3&lt;=($D$20+$A$20),H3,"Descartado"))))</f>
        <v>6.69</v>
      </c>
    </row>
    <row r="4" spans="1:9" x14ac:dyDescent="0.25">
      <c r="A4" s="38"/>
      <c r="B4" s="35"/>
      <c r="C4" s="36"/>
      <c r="D4" s="36"/>
      <c r="E4" s="37"/>
      <c r="F4" s="37"/>
      <c r="G4" s="5" t="s">
        <v>189</v>
      </c>
      <c r="H4" s="16">
        <v>6.9</v>
      </c>
      <c r="I4" s="17">
        <f t="shared" ref="I4:I17" si="0">IF(H4="","",(IF($C$20&lt;25%,"n/a",IF(H4&lt;=($D$20+$A$20),H4,"Descartado"))))</f>
        <v>6.9</v>
      </c>
    </row>
    <row r="5" spans="1:9" x14ac:dyDescent="0.25">
      <c r="A5" s="38"/>
      <c r="B5" s="35"/>
      <c r="C5" s="36"/>
      <c r="D5" s="36"/>
      <c r="E5" s="37"/>
      <c r="F5" s="37"/>
      <c r="G5" s="5" t="s">
        <v>190</v>
      </c>
      <c r="H5" s="16">
        <v>5.8</v>
      </c>
      <c r="I5" s="17">
        <f t="shared" si="0"/>
        <v>5.8</v>
      </c>
    </row>
    <row r="6" spans="1:9" x14ac:dyDescent="0.25">
      <c r="A6" s="38"/>
      <c r="B6" s="35"/>
      <c r="C6" s="36"/>
      <c r="D6" s="36"/>
      <c r="E6" s="37"/>
      <c r="F6" s="37"/>
      <c r="G6" s="5" t="s">
        <v>191</v>
      </c>
      <c r="H6" s="16">
        <v>6.91</v>
      </c>
      <c r="I6" s="17">
        <f t="shared" si="0"/>
        <v>6.91</v>
      </c>
    </row>
    <row r="7" spans="1:9" x14ac:dyDescent="0.25">
      <c r="A7" s="38"/>
      <c r="B7" s="35"/>
      <c r="C7" s="36"/>
      <c r="D7" s="36"/>
      <c r="E7" s="37"/>
      <c r="F7" s="37"/>
      <c r="G7" s="5" t="s">
        <v>192</v>
      </c>
      <c r="H7" s="16">
        <v>7.68</v>
      </c>
      <c r="I7" s="17">
        <f t="shared" si="0"/>
        <v>7.68</v>
      </c>
    </row>
    <row r="8" spans="1:9" x14ac:dyDescent="0.25">
      <c r="A8" s="38"/>
      <c r="B8" s="35"/>
      <c r="C8" s="36"/>
      <c r="D8" s="36"/>
      <c r="E8" s="37"/>
      <c r="F8" s="37"/>
      <c r="G8" s="5" t="s">
        <v>193</v>
      </c>
      <c r="H8" s="16">
        <v>6.87</v>
      </c>
      <c r="I8" s="17">
        <f t="shared" si="0"/>
        <v>6.87</v>
      </c>
    </row>
    <row r="9" spans="1:9" x14ac:dyDescent="0.25">
      <c r="A9" s="38"/>
      <c r="B9" s="35"/>
      <c r="C9" s="36"/>
      <c r="D9" s="36"/>
      <c r="E9" s="37"/>
      <c r="F9" s="37"/>
      <c r="G9" s="5" t="s">
        <v>194</v>
      </c>
      <c r="H9" s="16">
        <v>8</v>
      </c>
      <c r="I9" s="17">
        <f t="shared" si="0"/>
        <v>8</v>
      </c>
    </row>
    <row r="10" spans="1:9" x14ac:dyDescent="0.25">
      <c r="A10" s="38"/>
      <c r="B10" s="35"/>
      <c r="C10" s="36"/>
      <c r="D10" s="36"/>
      <c r="E10" s="37"/>
      <c r="F10" s="37"/>
      <c r="G10" s="5" t="s">
        <v>195</v>
      </c>
      <c r="H10" s="16">
        <v>7.8</v>
      </c>
      <c r="I10" s="17">
        <f t="shared" si="0"/>
        <v>7.8</v>
      </c>
    </row>
    <row r="11" spans="1:9" x14ac:dyDescent="0.25">
      <c r="A11" s="38"/>
      <c r="B11" s="35"/>
      <c r="C11" s="36"/>
      <c r="D11" s="36"/>
      <c r="E11" s="37"/>
      <c r="F11" s="37"/>
      <c r="G11" s="5" t="s">
        <v>196</v>
      </c>
      <c r="H11" s="16">
        <v>8.89</v>
      </c>
      <c r="I11" s="17">
        <f t="shared" si="0"/>
        <v>8.89</v>
      </c>
    </row>
    <row r="12" spans="1:9" x14ac:dyDescent="0.25">
      <c r="A12" s="38"/>
      <c r="B12" s="35"/>
      <c r="C12" s="36"/>
      <c r="D12" s="36"/>
      <c r="E12" s="37"/>
      <c r="F12" s="37"/>
      <c r="G12" s="5" t="s">
        <v>197</v>
      </c>
      <c r="H12" s="16">
        <v>9</v>
      </c>
      <c r="I12" s="17">
        <f t="shared" si="0"/>
        <v>9</v>
      </c>
    </row>
    <row r="13" spans="1:9" x14ac:dyDescent="0.25">
      <c r="A13" s="38"/>
      <c r="B13" s="35"/>
      <c r="C13" s="36"/>
      <c r="D13" s="36"/>
      <c r="E13" s="37"/>
      <c r="F13" s="37"/>
      <c r="G13" s="5" t="s">
        <v>198</v>
      </c>
      <c r="H13" s="16">
        <v>9.5</v>
      </c>
      <c r="I13" s="17">
        <f t="shared" si="0"/>
        <v>9.5</v>
      </c>
    </row>
    <row r="14" spans="1:9" x14ac:dyDescent="0.25">
      <c r="A14" s="38"/>
      <c r="B14" s="35"/>
      <c r="C14" s="36"/>
      <c r="D14" s="36"/>
      <c r="E14" s="37"/>
      <c r="F14" s="37"/>
      <c r="G14" s="5" t="s">
        <v>199</v>
      </c>
      <c r="H14" s="16">
        <v>16.3</v>
      </c>
      <c r="I14" s="17" t="str">
        <f t="shared" si="0"/>
        <v>Descartado</v>
      </c>
    </row>
    <row r="15" spans="1:9" x14ac:dyDescent="0.25">
      <c r="A15" s="38"/>
      <c r="B15" s="35"/>
      <c r="C15" s="36"/>
      <c r="D15" s="36"/>
      <c r="E15" s="37"/>
      <c r="F15" s="37"/>
      <c r="G15" s="5" t="s">
        <v>184</v>
      </c>
      <c r="H15" s="16">
        <v>8</v>
      </c>
      <c r="I15" s="17">
        <f t="shared" si="0"/>
        <v>8</v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2.6117795289212911</v>
      </c>
      <c r="B20" s="8">
        <f>COUNT(H3:H17)</f>
        <v>13</v>
      </c>
      <c r="C20" s="9">
        <f>IF(B20&lt;2,"n/a",(A20/D20))</f>
        <v>0.31353895905417661</v>
      </c>
      <c r="D20" s="10">
        <f>IFERROR(ROUND(AVERAGE(H3:H17),2),"")</f>
        <v>8.33</v>
      </c>
      <c r="E20" s="15">
        <f>IFERROR(ROUND(IF(B20&lt;2,"n/a",(IF(C20&lt;=25%,"n/a",AVERAGE(I3:I17)))),2),"n/a")</f>
        <v>7.67</v>
      </c>
      <c r="F20" s="10">
        <f>IFERROR(ROUND(MEDIAN(H3:H17),2),"")</f>
        <v>7.8</v>
      </c>
      <c r="G20" s="11" t="str">
        <f>IFERROR(INDEX(G3:G17,MATCH(H20,H3:H17,0)),"")</f>
        <v>EMPLAS MINEIRA LTDA</v>
      </c>
      <c r="H20" s="12">
        <f>F3</f>
        <v>5.8</v>
      </c>
    </row>
    <row r="22" spans="1:9" x14ac:dyDescent="0.25">
      <c r="G22" s="13" t="s">
        <v>20</v>
      </c>
      <c r="H22" s="14">
        <f>IF(C20&lt;=25%,D20,MIN(E20:F20))</f>
        <v>7.67</v>
      </c>
    </row>
    <row r="23" spans="1:9" x14ac:dyDescent="0.25">
      <c r="G23" s="13" t="s">
        <v>6</v>
      </c>
      <c r="H23" s="14">
        <f>ROUND(H22,2)*D3</f>
        <v>153400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8">
        <v>15</v>
      </c>
      <c r="B3" s="34" t="s">
        <v>49</v>
      </c>
      <c r="C3" s="36" t="s">
        <v>7</v>
      </c>
      <c r="D3" s="36">
        <v>100</v>
      </c>
      <c r="E3" s="37">
        <f>IF(C20&lt;=25%,D20,MIN(E20:F20))</f>
        <v>130.02000000000001</v>
      </c>
      <c r="F3" s="37">
        <f>MIN(H3:H17)</f>
        <v>95.96</v>
      </c>
      <c r="G3" s="5" t="s">
        <v>100</v>
      </c>
      <c r="H3" s="16">
        <v>137.5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101</v>
      </c>
      <c r="H4" s="16">
        <v>166.36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102</v>
      </c>
      <c r="H5" s="16">
        <v>95.96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103</v>
      </c>
      <c r="H6" s="16">
        <v>120.25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29.62027726068758</v>
      </c>
      <c r="B20" s="8">
        <f>COUNT(H3:H17)</f>
        <v>4</v>
      </c>
      <c r="C20" s="9">
        <f>IF(B20&lt;2,"n/a",(A20/D20))</f>
        <v>0.22781323843014595</v>
      </c>
      <c r="D20" s="10">
        <f>IFERROR(ROUND(AVERAGE(H3:H17),2),"")</f>
        <v>130.02000000000001</v>
      </c>
      <c r="E20" s="15" t="str">
        <f>IFERROR(ROUND(IF(B20&lt;2,"n/a",(IF(C20&lt;=25%,"n/a",AVERAGE(I3:I17)))),2),"n/a")</f>
        <v>n/a</v>
      </c>
      <c r="F20" s="10">
        <f>IFERROR(ROUND(MEDIAN(H3:H17),2),"")</f>
        <v>128.88</v>
      </c>
      <c r="G20" s="11" t="str">
        <f>IFERROR(INDEX(G3:G17,MATCH(H20,H3:H17,0)),"")</f>
        <v>41.313.947 ALEXANDER DE JESUS VIDAL</v>
      </c>
      <c r="H20" s="12">
        <f>F3</f>
        <v>95.96</v>
      </c>
    </row>
    <row r="22" spans="1:9" x14ac:dyDescent="0.25">
      <c r="G22" s="13" t="s">
        <v>20</v>
      </c>
      <c r="H22" s="14">
        <f>IF(C20&lt;=25%,D20,MIN(E20:F20))</f>
        <v>130.02000000000001</v>
      </c>
    </row>
    <row r="23" spans="1:9" x14ac:dyDescent="0.25">
      <c r="G23" s="13" t="s">
        <v>6</v>
      </c>
      <c r="H23" s="14">
        <f>ROUND(H22,2)*D3</f>
        <v>13002.000000000002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8">
        <v>16</v>
      </c>
      <c r="B3" s="34" t="s">
        <v>50</v>
      </c>
      <c r="C3" s="36" t="s">
        <v>7</v>
      </c>
      <c r="D3" s="36">
        <v>300</v>
      </c>
      <c r="E3" s="37">
        <f>IF(C20&lt;=25%,D20,MIN(E20:F20))</f>
        <v>43.28</v>
      </c>
      <c r="F3" s="37">
        <f>MIN(H3:H17)</f>
        <v>39.4</v>
      </c>
      <c r="G3" s="5" t="s">
        <v>104</v>
      </c>
      <c r="H3" s="16">
        <v>39.4</v>
      </c>
      <c r="I3" s="17">
        <f>IF(H3="","",(IF($C$20&lt;25%,"n/a",IF(H3&lt;=($D$20+$A$20),H3,"Descartado"))))</f>
        <v>39.4</v>
      </c>
    </row>
    <row r="4" spans="1:9" x14ac:dyDescent="0.25">
      <c r="A4" s="38"/>
      <c r="B4" s="35"/>
      <c r="C4" s="36"/>
      <c r="D4" s="36"/>
      <c r="E4" s="37"/>
      <c r="F4" s="37"/>
      <c r="G4" s="5" t="s">
        <v>105</v>
      </c>
      <c r="H4" s="16">
        <v>47.16</v>
      </c>
      <c r="I4" s="17">
        <f t="shared" ref="I4:I17" si="0">IF(H4="","",(IF($C$20&lt;25%,"n/a",IF(H4&lt;=($D$20+$A$20),H4,"Descartado"))))</f>
        <v>47.16</v>
      </c>
    </row>
    <row r="5" spans="1:9" x14ac:dyDescent="0.25">
      <c r="A5" s="38"/>
      <c r="B5" s="35"/>
      <c r="C5" s="36"/>
      <c r="D5" s="36"/>
      <c r="E5" s="37"/>
      <c r="F5" s="37"/>
      <c r="G5" s="5" t="s">
        <v>106</v>
      </c>
      <c r="H5" s="16">
        <v>84.835999999999999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24.304076036747393</v>
      </c>
      <c r="B20" s="8">
        <f>COUNT(H3:H17)</f>
        <v>3</v>
      </c>
      <c r="C20" s="9">
        <f>IF(B20&lt;2,"n/a",(A20/D20))</f>
        <v>0.42541704947921216</v>
      </c>
      <c r="D20" s="10">
        <f>IFERROR(ROUND(AVERAGE(H3:H17),2),"")</f>
        <v>57.13</v>
      </c>
      <c r="E20" s="15">
        <f>IFERROR(ROUND(IF(B20&lt;2,"n/a",(IF(C20&lt;=25%,"n/a",AVERAGE(I3:I17)))),2),"n/a")</f>
        <v>43.28</v>
      </c>
      <c r="F20" s="10">
        <f>IFERROR(ROUND(MEDIAN(H3:H17),2),"")</f>
        <v>47.16</v>
      </c>
      <c r="G20" s="11" t="str">
        <f>IFERROR(INDEX(G3:G17,MATCH(H20,H3:H17,0)),"")</f>
        <v>SUPRAPACK SOLUCOES LTDA</v>
      </c>
      <c r="H20" s="12">
        <f>F3</f>
        <v>39.4</v>
      </c>
    </row>
    <row r="22" spans="1:9" x14ac:dyDescent="0.25">
      <c r="G22" s="13" t="s">
        <v>20</v>
      </c>
      <c r="H22" s="14">
        <f>IF(C20&lt;=25%,D20,MIN(E20:F20))</f>
        <v>43.28</v>
      </c>
    </row>
    <row r="23" spans="1:9" x14ac:dyDescent="0.25">
      <c r="G23" s="13" t="s">
        <v>6</v>
      </c>
      <c r="H23" s="14">
        <f>ROUND(H22,2)*D3</f>
        <v>12984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8">
        <v>17</v>
      </c>
      <c r="B3" s="34" t="s">
        <v>51</v>
      </c>
      <c r="C3" s="36" t="s">
        <v>7</v>
      </c>
      <c r="D3" s="36">
        <v>200</v>
      </c>
      <c r="E3" s="37">
        <f>IF(C20&lt;=25%,D20,MIN(E20:F20))</f>
        <v>22.3</v>
      </c>
      <c r="F3" s="37">
        <f>MIN(H3:H17)</f>
        <v>16</v>
      </c>
      <c r="G3" s="5" t="s">
        <v>107</v>
      </c>
      <c r="H3" s="16">
        <v>26</v>
      </c>
      <c r="I3" s="17">
        <f>IF(H3="","",(IF($C$20&lt;25%,"n/a",IF(H3&lt;=($D$20+$A$20),H3,"Descartado"))))</f>
        <v>26</v>
      </c>
    </row>
    <row r="4" spans="1:9" x14ac:dyDescent="0.25">
      <c r="A4" s="38"/>
      <c r="B4" s="35"/>
      <c r="C4" s="36"/>
      <c r="D4" s="36"/>
      <c r="E4" s="37"/>
      <c r="F4" s="37"/>
      <c r="G4" s="5" t="s">
        <v>108</v>
      </c>
      <c r="H4" s="16">
        <v>22.85</v>
      </c>
      <c r="I4" s="17">
        <f t="shared" ref="I4:I17" si="0">IF(H4="","",(IF($C$20&lt;25%,"n/a",IF(H4&lt;=($D$20+$A$20),H4,"Descartado"))))</f>
        <v>22.85</v>
      </c>
    </row>
    <row r="5" spans="1:9" x14ac:dyDescent="0.25">
      <c r="A5" s="38"/>
      <c r="B5" s="35"/>
      <c r="C5" s="36"/>
      <c r="D5" s="36"/>
      <c r="E5" s="37"/>
      <c r="F5" s="37"/>
      <c r="G5" s="5" t="s">
        <v>109</v>
      </c>
      <c r="H5" s="16">
        <v>28.68</v>
      </c>
      <c r="I5" s="17">
        <f t="shared" si="0"/>
        <v>28.68</v>
      </c>
    </row>
    <row r="6" spans="1:9" x14ac:dyDescent="0.25">
      <c r="A6" s="38"/>
      <c r="B6" s="35"/>
      <c r="C6" s="36"/>
      <c r="D6" s="36"/>
      <c r="E6" s="37"/>
      <c r="F6" s="37"/>
      <c r="G6" s="5" t="s">
        <v>110</v>
      </c>
      <c r="H6" s="16">
        <v>64.010000000000005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111</v>
      </c>
      <c r="H7" s="16">
        <v>17.989999999999998</v>
      </c>
      <c r="I7" s="17">
        <f t="shared" si="0"/>
        <v>17.989999999999998</v>
      </c>
    </row>
    <row r="8" spans="1:9" x14ac:dyDescent="0.25">
      <c r="A8" s="38"/>
      <c r="B8" s="35"/>
      <c r="C8" s="36"/>
      <c r="D8" s="36"/>
      <c r="E8" s="37"/>
      <c r="F8" s="37"/>
      <c r="G8" s="5" t="s">
        <v>112</v>
      </c>
      <c r="H8" s="16">
        <v>16</v>
      </c>
      <c r="I8" s="17">
        <f t="shared" si="0"/>
        <v>16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17.677414686542818</v>
      </c>
      <c r="B20" s="8">
        <f>COUNT(H3:H17)</f>
        <v>6</v>
      </c>
      <c r="C20" s="9">
        <f>IF(B20&lt;2,"n/a",(A20/D20))</f>
        <v>0.60414951081827806</v>
      </c>
      <c r="D20" s="10">
        <f>IFERROR(ROUND(AVERAGE(H3:H17),2),"")</f>
        <v>29.26</v>
      </c>
      <c r="E20" s="15">
        <f>IFERROR(ROUND(IF(B20&lt;2,"n/a",(IF(C20&lt;=25%,"n/a",AVERAGE(I3:I17)))),2),"n/a")</f>
        <v>22.3</v>
      </c>
      <c r="F20" s="10">
        <f>IFERROR(ROUND(MEDIAN(H3:H17),2),"")</f>
        <v>24.43</v>
      </c>
      <c r="G20" s="11" t="str">
        <f>IFERROR(INDEX(G3:G17,MATCH(H20,H3:H17,0)),"")</f>
        <v>LLG COMERCIO SERVICOS E ALIMENTOS LTDA</v>
      </c>
      <c r="H20" s="12">
        <f>F3</f>
        <v>16</v>
      </c>
    </row>
    <row r="22" spans="1:9" x14ac:dyDescent="0.25">
      <c r="G22" s="13" t="s">
        <v>20</v>
      </c>
      <c r="H22" s="14">
        <f>IF(C20&lt;=25%,D20,MIN(E20:F20))</f>
        <v>22.3</v>
      </c>
    </row>
    <row r="23" spans="1:9" x14ac:dyDescent="0.25">
      <c r="G23" s="13" t="s">
        <v>6</v>
      </c>
      <c r="H23" s="14">
        <f>ROUND(H22,2)*D3</f>
        <v>4460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8">
        <v>18</v>
      </c>
      <c r="B3" s="34" t="s">
        <v>52</v>
      </c>
      <c r="C3" s="36" t="s">
        <v>7</v>
      </c>
      <c r="D3" s="36">
        <v>200</v>
      </c>
      <c r="E3" s="37">
        <f>IF(C20&lt;=25%,D20,MIN(E20:F20))</f>
        <v>12.8</v>
      </c>
      <c r="F3" s="37">
        <f>MIN(H3:H17)</f>
        <v>6</v>
      </c>
      <c r="G3" s="5" t="s">
        <v>113</v>
      </c>
      <c r="H3" s="16">
        <v>12</v>
      </c>
      <c r="I3" s="17">
        <f>IF(H3="","",(IF($C$20&lt;25%,"n/a",IF(H3&lt;=($D$20+$A$20),H3,"Descartado"))))</f>
        <v>12</v>
      </c>
    </row>
    <row r="4" spans="1:9" x14ac:dyDescent="0.25">
      <c r="A4" s="38"/>
      <c r="B4" s="35"/>
      <c r="C4" s="36"/>
      <c r="D4" s="36"/>
      <c r="E4" s="37"/>
      <c r="F4" s="37"/>
      <c r="G4" s="5" t="s">
        <v>114</v>
      </c>
      <c r="H4" s="16">
        <v>6.22</v>
      </c>
      <c r="I4" s="17">
        <f t="shared" ref="I4:I17" si="0">IF(H4="","",(IF($C$20&lt;25%,"n/a",IF(H4&lt;=($D$20+$A$20),H4,"Descartado"))))</f>
        <v>6.22</v>
      </c>
    </row>
    <row r="5" spans="1:9" x14ac:dyDescent="0.25">
      <c r="A5" s="38"/>
      <c r="B5" s="35"/>
      <c r="C5" s="36"/>
      <c r="D5" s="36"/>
      <c r="E5" s="37"/>
      <c r="F5" s="37"/>
      <c r="G5" s="5" t="s">
        <v>115</v>
      </c>
      <c r="H5" s="16">
        <v>6</v>
      </c>
      <c r="I5" s="17">
        <f t="shared" si="0"/>
        <v>6</v>
      </c>
    </row>
    <row r="6" spans="1:9" x14ac:dyDescent="0.25">
      <c r="A6" s="38"/>
      <c r="B6" s="35"/>
      <c r="C6" s="36"/>
      <c r="D6" s="36"/>
      <c r="E6" s="37"/>
      <c r="F6" s="37"/>
      <c r="G6" s="5" t="s">
        <v>116</v>
      </c>
      <c r="H6" s="16">
        <v>38.049999999999997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111</v>
      </c>
      <c r="H7" s="16">
        <v>12.99</v>
      </c>
      <c r="I7" s="17">
        <f t="shared" si="0"/>
        <v>12.99</v>
      </c>
    </row>
    <row r="8" spans="1:9" x14ac:dyDescent="0.25">
      <c r="A8" s="38"/>
      <c r="B8" s="35"/>
      <c r="C8" s="36"/>
      <c r="D8" s="36"/>
      <c r="E8" s="37"/>
      <c r="F8" s="37"/>
      <c r="G8" s="5" t="s">
        <v>117</v>
      </c>
      <c r="H8" s="16">
        <v>8.6999999999999993</v>
      </c>
      <c r="I8" s="17">
        <f t="shared" si="0"/>
        <v>8.6999999999999993</v>
      </c>
    </row>
    <row r="9" spans="1:9" x14ac:dyDescent="0.25">
      <c r="A9" s="38"/>
      <c r="B9" s="35"/>
      <c r="C9" s="36"/>
      <c r="D9" s="36"/>
      <c r="E9" s="37"/>
      <c r="F9" s="37"/>
      <c r="G9" s="5" t="s">
        <v>118</v>
      </c>
      <c r="H9" s="16">
        <v>15.9</v>
      </c>
      <c r="I9" s="17">
        <f t="shared" si="0"/>
        <v>15.9</v>
      </c>
    </row>
    <row r="10" spans="1:9" x14ac:dyDescent="0.25">
      <c r="A10" s="38"/>
      <c r="B10" s="35"/>
      <c r="C10" s="36"/>
      <c r="D10" s="36"/>
      <c r="E10" s="37"/>
      <c r="F10" s="37"/>
      <c r="G10" s="5" t="s">
        <v>119</v>
      </c>
      <c r="H10" s="16">
        <v>25</v>
      </c>
      <c r="I10" s="17">
        <f t="shared" si="0"/>
        <v>25</v>
      </c>
    </row>
    <row r="11" spans="1:9" x14ac:dyDescent="0.25">
      <c r="A11" s="38"/>
      <c r="B11" s="35"/>
      <c r="C11" s="36"/>
      <c r="D11" s="36"/>
      <c r="E11" s="37"/>
      <c r="F11" s="37"/>
      <c r="G11" s="5" t="s">
        <v>120</v>
      </c>
      <c r="H11" s="16">
        <v>45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121</v>
      </c>
      <c r="H12" s="16">
        <v>15.59</v>
      </c>
      <c r="I12" s="17">
        <f t="shared" si="0"/>
        <v>15.59</v>
      </c>
    </row>
    <row r="13" spans="1:9" x14ac:dyDescent="0.25">
      <c r="A13" s="38"/>
      <c r="B13" s="35"/>
      <c r="C13" s="36"/>
      <c r="D13" s="36"/>
      <c r="E13" s="37"/>
      <c r="F13" s="37"/>
      <c r="G13" s="5" t="s">
        <v>122</v>
      </c>
      <c r="H13" s="16">
        <v>42.53</v>
      </c>
      <c r="I13" s="17" t="str">
        <f t="shared" si="0"/>
        <v>Descartado</v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14.63075826034752</v>
      </c>
      <c r="B20" s="8">
        <f>COUNT(H3:H17)</f>
        <v>11</v>
      </c>
      <c r="C20" s="9">
        <f>IF(B20&lt;2,"n/a",(A20/D20))</f>
        <v>0.70577705066799423</v>
      </c>
      <c r="D20" s="10">
        <f>IFERROR(ROUND(AVERAGE(H3:H17),2),"")</f>
        <v>20.73</v>
      </c>
      <c r="E20" s="15">
        <f>IFERROR(ROUND(IF(B20&lt;2,"n/a",(IF(C20&lt;=25%,"n/a",AVERAGE(I3:I17)))),2),"n/a")</f>
        <v>12.8</v>
      </c>
      <c r="F20" s="10">
        <f>IFERROR(ROUND(MEDIAN(H3:H17),2),"")</f>
        <v>15.59</v>
      </c>
      <c r="G20" s="11" t="str">
        <f>IFERROR(INDEX(G3:G17,MATCH(H20,H3:H17,0)),"")</f>
        <v>ENGBRAZ CONSTRUCOES LTDA</v>
      </c>
      <c r="H20" s="12">
        <f>F3</f>
        <v>6</v>
      </c>
    </row>
    <row r="22" spans="1:9" x14ac:dyDescent="0.25">
      <c r="G22" s="13" t="s">
        <v>20</v>
      </c>
      <c r="H22" s="14">
        <f>IF(C20&lt;=25%,D20,MIN(E20:F20))</f>
        <v>12.8</v>
      </c>
    </row>
    <row r="23" spans="1:9" x14ac:dyDescent="0.25">
      <c r="G23" s="13" t="s">
        <v>6</v>
      </c>
      <c r="H23" s="14">
        <f>ROUND(H22,2)*D3</f>
        <v>2560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8" sqref="G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8">
        <v>19</v>
      </c>
      <c r="B3" s="34" t="s">
        <v>53</v>
      </c>
      <c r="C3" s="36" t="s">
        <v>7</v>
      </c>
      <c r="D3" s="36">
        <v>800</v>
      </c>
      <c r="E3" s="37">
        <f>IF(C20&lt;=25%,D20,MIN(E20:F20))</f>
        <v>76.61</v>
      </c>
      <c r="F3" s="37">
        <f>MIN(H3:H17)</f>
        <v>31.18</v>
      </c>
      <c r="G3" s="5" t="s">
        <v>123</v>
      </c>
      <c r="H3" s="16">
        <v>41.91</v>
      </c>
      <c r="I3" s="17">
        <f>IF(H3="","",(IF($C$20&lt;25%,"n/a",IF(H3&lt;=($D$20+$A$20),H3,"Descartado"))))</f>
        <v>41.91</v>
      </c>
    </row>
    <row r="4" spans="1:9" x14ac:dyDescent="0.25">
      <c r="A4" s="38"/>
      <c r="B4" s="35"/>
      <c r="C4" s="36"/>
      <c r="D4" s="36"/>
      <c r="E4" s="37"/>
      <c r="F4" s="37"/>
      <c r="G4" s="5" t="s">
        <v>124</v>
      </c>
      <c r="H4" s="16">
        <v>69.87</v>
      </c>
      <c r="I4" s="17">
        <f t="shared" ref="I4:I17" si="0">IF(H4="","",(IF($C$20&lt;25%,"n/a",IF(H4&lt;=($D$20+$A$20),H4,"Descartado"))))</f>
        <v>69.87</v>
      </c>
    </row>
    <row r="5" spans="1:9" x14ac:dyDescent="0.25">
      <c r="A5" s="38"/>
      <c r="B5" s="35"/>
      <c r="C5" s="36"/>
      <c r="D5" s="36"/>
      <c r="E5" s="37"/>
      <c r="F5" s="37"/>
      <c r="G5" s="5" t="s">
        <v>125</v>
      </c>
      <c r="H5" s="16">
        <v>31.18</v>
      </c>
      <c r="I5" s="17">
        <f t="shared" si="0"/>
        <v>31.18</v>
      </c>
    </row>
    <row r="6" spans="1:9" x14ac:dyDescent="0.25">
      <c r="A6" s="38"/>
      <c r="B6" s="35"/>
      <c r="C6" s="36"/>
      <c r="D6" s="36"/>
      <c r="E6" s="37"/>
      <c r="F6" s="37"/>
      <c r="G6" s="5" t="s">
        <v>126</v>
      </c>
      <c r="H6" s="16">
        <v>97.88</v>
      </c>
      <c r="I6" s="17">
        <f t="shared" si="0"/>
        <v>97.88</v>
      </c>
    </row>
    <row r="7" spans="1:9" x14ac:dyDescent="0.25">
      <c r="A7" s="38"/>
      <c r="B7" s="35"/>
      <c r="C7" s="36"/>
      <c r="D7" s="36"/>
      <c r="E7" s="37"/>
      <c r="F7" s="37"/>
      <c r="G7" s="5" t="s">
        <v>72</v>
      </c>
      <c r="H7" s="16">
        <v>57.64</v>
      </c>
      <c r="I7" s="17">
        <f t="shared" si="0"/>
        <v>57.64</v>
      </c>
    </row>
    <row r="8" spans="1:9" x14ac:dyDescent="0.25">
      <c r="A8" s="38"/>
      <c r="B8" s="35"/>
      <c r="C8" s="36"/>
      <c r="D8" s="36"/>
      <c r="E8" s="37"/>
      <c r="F8" s="37"/>
      <c r="G8" s="5" t="s">
        <v>127</v>
      </c>
      <c r="H8" s="16">
        <v>108.5</v>
      </c>
      <c r="I8" s="17">
        <f t="shared" si="0"/>
        <v>108.5</v>
      </c>
    </row>
    <row r="9" spans="1:9" x14ac:dyDescent="0.25">
      <c r="A9" s="38"/>
      <c r="B9" s="35"/>
      <c r="C9" s="36"/>
      <c r="D9" s="36"/>
      <c r="E9" s="37"/>
      <c r="F9" s="37"/>
      <c r="G9" s="5" t="s">
        <v>128</v>
      </c>
      <c r="H9" s="16">
        <v>52</v>
      </c>
      <c r="I9" s="17">
        <f t="shared" si="0"/>
        <v>52</v>
      </c>
    </row>
    <row r="10" spans="1:9" x14ac:dyDescent="0.25">
      <c r="A10" s="38"/>
      <c r="B10" s="35"/>
      <c r="C10" s="36"/>
      <c r="D10" s="36"/>
      <c r="E10" s="37"/>
      <c r="F10" s="37"/>
      <c r="G10" s="5" t="s">
        <v>129</v>
      </c>
      <c r="H10" s="16">
        <v>224.8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184</v>
      </c>
      <c r="H11" s="16">
        <v>85</v>
      </c>
      <c r="I11" s="17">
        <f t="shared" si="0"/>
        <v>85</v>
      </c>
    </row>
    <row r="12" spans="1:9" x14ac:dyDescent="0.25">
      <c r="A12" s="38"/>
      <c r="B12" s="35"/>
      <c r="C12" s="36"/>
      <c r="D12" s="36"/>
      <c r="E12" s="37"/>
      <c r="F12" s="37"/>
      <c r="G12" s="5" t="s">
        <v>212</v>
      </c>
      <c r="H12" s="16">
        <v>89.9</v>
      </c>
      <c r="I12" s="17">
        <f t="shared" si="0"/>
        <v>89.9</v>
      </c>
    </row>
    <row r="13" spans="1:9" x14ac:dyDescent="0.25">
      <c r="A13" s="38"/>
      <c r="B13" s="35"/>
      <c r="C13" s="36"/>
      <c r="D13" s="36"/>
      <c r="E13" s="37"/>
      <c r="F13" s="37"/>
      <c r="G13" s="5" t="s">
        <v>187</v>
      </c>
      <c r="H13" s="16">
        <v>90</v>
      </c>
      <c r="I13" s="17">
        <f t="shared" si="0"/>
        <v>90</v>
      </c>
    </row>
    <row r="14" spans="1:9" x14ac:dyDescent="0.25">
      <c r="A14" s="38"/>
      <c r="B14" s="35"/>
      <c r="C14" s="36"/>
      <c r="D14" s="36"/>
      <c r="E14" s="37"/>
      <c r="F14" s="37"/>
      <c r="G14" s="5" t="s">
        <v>198</v>
      </c>
      <c r="H14" s="16">
        <v>90.5</v>
      </c>
      <c r="I14" s="17">
        <f t="shared" si="0"/>
        <v>90.5</v>
      </c>
    </row>
    <row r="15" spans="1:9" x14ac:dyDescent="0.25">
      <c r="A15" s="38"/>
      <c r="B15" s="35"/>
      <c r="C15" s="36"/>
      <c r="D15" s="36"/>
      <c r="E15" s="37"/>
      <c r="F15" s="37"/>
      <c r="G15" s="5" t="s">
        <v>213</v>
      </c>
      <c r="H15" s="16">
        <v>90.75</v>
      </c>
      <c r="I15" s="17">
        <f t="shared" si="0"/>
        <v>90.75</v>
      </c>
    </row>
    <row r="16" spans="1:9" x14ac:dyDescent="0.25">
      <c r="A16" s="38"/>
      <c r="B16" s="35"/>
      <c r="C16" s="36"/>
      <c r="D16" s="36"/>
      <c r="E16" s="37"/>
      <c r="F16" s="37"/>
      <c r="G16" s="5" t="s">
        <v>214</v>
      </c>
      <c r="H16" s="16">
        <v>90.75</v>
      </c>
      <c r="I16" s="17">
        <f t="shared" si="0"/>
        <v>90.75</v>
      </c>
    </row>
    <row r="17" spans="1:9" x14ac:dyDescent="0.25">
      <c r="A17" s="38"/>
      <c r="B17" s="35"/>
      <c r="C17" s="36"/>
      <c r="D17" s="36"/>
      <c r="E17" s="37"/>
      <c r="F17" s="37"/>
      <c r="G17" s="5" t="s">
        <v>202</v>
      </c>
      <c r="H17" s="16">
        <v>200</v>
      </c>
      <c r="I17" s="17" t="str">
        <f t="shared" si="0"/>
        <v>Descartado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52.805270462061173</v>
      </c>
      <c r="B20" s="8">
        <f>COUNT(H3:H17)</f>
        <v>15</v>
      </c>
      <c r="C20" s="9">
        <f>IF(B20&lt;2,"n/a",(A20/D20))</f>
        <v>0.55754693762074936</v>
      </c>
      <c r="D20" s="10">
        <f>IFERROR(ROUND(AVERAGE(H3:H17),2),"")</f>
        <v>94.71</v>
      </c>
      <c r="E20" s="15">
        <f>IFERROR(ROUND(IF(B20&lt;2,"n/a",(IF(C20&lt;=25%,"n/a",AVERAGE(I3:I17)))),2),"n/a")</f>
        <v>76.61</v>
      </c>
      <c r="F20" s="10">
        <f>IFERROR(ROUND(MEDIAN(H3:H17),2),"")</f>
        <v>90</v>
      </c>
      <c r="G20" s="11" t="str">
        <f>IFERROR(INDEX(G3:G17,MATCH(H20,H3:H17,0)),"")</f>
        <v>50.820.694 RAFAEL BERALDO DE SOUZA</v>
      </c>
      <c r="H20" s="12">
        <f>F3</f>
        <v>31.18</v>
      </c>
    </row>
    <row r="22" spans="1:9" x14ac:dyDescent="0.25">
      <c r="G22" s="13" t="s">
        <v>20</v>
      </c>
      <c r="H22" s="14">
        <f>IF(C20&lt;=25%,D20,MIN(E20:F20))</f>
        <v>76.61</v>
      </c>
    </row>
    <row r="23" spans="1:9" x14ac:dyDescent="0.25">
      <c r="G23" s="13" t="s">
        <v>6</v>
      </c>
      <c r="H23" s="14">
        <f>ROUND(H22,2)*D3</f>
        <v>61288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38</v>
      </c>
      <c r="C3" s="36" t="s">
        <v>37</v>
      </c>
      <c r="D3" s="36">
        <v>10000</v>
      </c>
      <c r="E3" s="37">
        <f>IF(C20&lt;=25%,D20,MIN(E20:F20))</f>
        <v>3.17</v>
      </c>
      <c r="F3" s="37">
        <f>MIN(H3:H17)</f>
        <v>2.35</v>
      </c>
      <c r="G3" s="5" t="s">
        <v>67</v>
      </c>
      <c r="H3" s="16">
        <v>3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64</v>
      </c>
      <c r="H4" s="16">
        <v>2.96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68</v>
      </c>
      <c r="H5" s="16">
        <v>5.0999999999999996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204</v>
      </c>
      <c r="H6" s="16">
        <v>2.35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200</v>
      </c>
      <c r="H7" s="16">
        <v>2.58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205</v>
      </c>
      <c r="H8" s="16">
        <v>2.74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206</v>
      </c>
      <c r="H9" s="16">
        <v>2.89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 t="s">
        <v>207</v>
      </c>
      <c r="H10" s="16">
        <v>3</v>
      </c>
      <c r="I10" s="17" t="str">
        <f t="shared" si="0"/>
        <v>n/a</v>
      </c>
    </row>
    <row r="11" spans="1:9" x14ac:dyDescent="0.25">
      <c r="A11" s="38"/>
      <c r="B11" s="35"/>
      <c r="C11" s="36"/>
      <c r="D11" s="36"/>
      <c r="E11" s="37"/>
      <c r="F11" s="37"/>
      <c r="G11" s="5" t="s">
        <v>208</v>
      </c>
      <c r="H11" s="16">
        <v>3.4</v>
      </c>
      <c r="I11" s="17" t="str">
        <f t="shared" si="0"/>
        <v>n/a</v>
      </c>
    </row>
    <row r="12" spans="1:9" x14ac:dyDescent="0.25">
      <c r="A12" s="38"/>
      <c r="B12" s="35"/>
      <c r="C12" s="36"/>
      <c r="D12" s="36"/>
      <c r="E12" s="37"/>
      <c r="F12" s="37"/>
      <c r="G12" s="5" t="s">
        <v>209</v>
      </c>
      <c r="H12" s="16">
        <v>3.39</v>
      </c>
      <c r="I12" s="17" t="str">
        <f t="shared" si="0"/>
        <v>n/a</v>
      </c>
    </row>
    <row r="13" spans="1:9" x14ac:dyDescent="0.25">
      <c r="A13" s="38"/>
      <c r="B13" s="35"/>
      <c r="C13" s="36"/>
      <c r="D13" s="36"/>
      <c r="E13" s="37"/>
      <c r="F13" s="37"/>
      <c r="G13" s="5" t="s">
        <v>66</v>
      </c>
      <c r="H13" s="16">
        <v>3.2</v>
      </c>
      <c r="I13" s="17" t="str">
        <f t="shared" si="0"/>
        <v>n/a</v>
      </c>
    </row>
    <row r="14" spans="1:9" x14ac:dyDescent="0.25">
      <c r="A14" s="38"/>
      <c r="B14" s="35"/>
      <c r="C14" s="36"/>
      <c r="D14" s="36"/>
      <c r="E14" s="37"/>
      <c r="F14" s="37"/>
      <c r="G14" s="5" t="s">
        <v>210</v>
      </c>
      <c r="H14" s="16">
        <v>3.79</v>
      </c>
      <c r="I14" s="17" t="str">
        <f t="shared" si="0"/>
        <v>n/a</v>
      </c>
    </row>
    <row r="15" spans="1:9" x14ac:dyDescent="0.25">
      <c r="A15" s="38"/>
      <c r="B15" s="35"/>
      <c r="C15" s="36"/>
      <c r="D15" s="36"/>
      <c r="E15" s="37"/>
      <c r="F15" s="37"/>
      <c r="G15" s="5" t="s">
        <v>187</v>
      </c>
      <c r="H15" s="16">
        <v>4.2</v>
      </c>
      <c r="I15" s="17" t="str">
        <f t="shared" si="0"/>
        <v>n/a</v>
      </c>
    </row>
    <row r="16" spans="1:9" x14ac:dyDescent="0.25">
      <c r="A16" s="38"/>
      <c r="B16" s="35"/>
      <c r="C16" s="36"/>
      <c r="D16" s="36"/>
      <c r="E16" s="37"/>
      <c r="F16" s="37"/>
      <c r="G16" s="5" t="s">
        <v>211</v>
      </c>
      <c r="H16" s="16">
        <v>2.52</v>
      </c>
      <c r="I16" s="17" t="str">
        <f t="shared" si="0"/>
        <v>n/a</v>
      </c>
    </row>
    <row r="17" spans="1:9" x14ac:dyDescent="0.25">
      <c r="A17" s="38"/>
      <c r="B17" s="35"/>
      <c r="C17" s="36"/>
      <c r="D17" s="36"/>
      <c r="E17" s="37"/>
      <c r="F17" s="37"/>
      <c r="G17" s="5" t="s">
        <v>203</v>
      </c>
      <c r="H17" s="16">
        <v>2.4</v>
      </c>
      <c r="I17" s="17" t="str">
        <f t="shared" si="0"/>
        <v>n/a</v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0.74033969037385472</v>
      </c>
      <c r="B20" s="8">
        <f>COUNT(H3:H17)</f>
        <v>15</v>
      </c>
      <c r="C20" s="9">
        <f>IF(B20&lt;2,"n/a",(A20/D20))</f>
        <v>0.23354564365105829</v>
      </c>
      <c r="D20" s="10">
        <f>IFERROR(ROUND(AVERAGE(H3:H17),2),"")</f>
        <v>3.17</v>
      </c>
      <c r="E20" s="15" t="str">
        <f>IFERROR(ROUND(IF(B20&lt;2,"n/a",(IF(C20&lt;=25%,"n/a",AVERAGE(I3:I17)))),2),"n/a")</f>
        <v>n/a</v>
      </c>
      <c r="F20" s="10">
        <f>IFERROR(ROUND(MEDIAN(H3:H17),2),"")</f>
        <v>3</v>
      </c>
      <c r="G20" s="11" t="str">
        <f>IFERROR(INDEX(G3:G17,MATCH(H20,H3:H17,0)),"")</f>
        <v>ALEGRENSE DISTRIBUIDORA E REPRESENTACAO COMERCIAL LTDA</v>
      </c>
      <c r="H20" s="12">
        <f>F3</f>
        <v>2.35</v>
      </c>
    </row>
    <row r="22" spans="1:9" x14ac:dyDescent="0.25">
      <c r="G22" s="13" t="s">
        <v>20</v>
      </c>
      <c r="H22" s="14">
        <f>IF(C20&lt;=25%,D20,MIN(E20:F20))</f>
        <v>3.17</v>
      </c>
    </row>
    <row r="23" spans="1:9" x14ac:dyDescent="0.25">
      <c r="G23" s="13" t="s">
        <v>6</v>
      </c>
      <c r="H23" s="14">
        <f>ROUND(H22,2)*D3</f>
        <v>31700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8">
        <v>20</v>
      </c>
      <c r="B3" s="34" t="s">
        <v>54</v>
      </c>
      <c r="C3" s="36" t="s">
        <v>7</v>
      </c>
      <c r="D3" s="36">
        <v>400</v>
      </c>
      <c r="E3" s="37">
        <f>IF(C20&lt;=25%,D20,MIN(E20:F20))</f>
        <v>192.08</v>
      </c>
      <c r="F3" s="37">
        <f>MIN(H3:H17)</f>
        <v>169.99</v>
      </c>
      <c r="G3" s="5" t="s">
        <v>130</v>
      </c>
      <c r="H3" s="16">
        <v>177.59399999999999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131</v>
      </c>
      <c r="H4" s="16">
        <v>207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132</v>
      </c>
      <c r="H5" s="16">
        <v>179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133</v>
      </c>
      <c r="H6" s="16">
        <v>201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134</v>
      </c>
      <c r="H7" s="16">
        <v>169.99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135</v>
      </c>
      <c r="H8" s="16">
        <v>195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136</v>
      </c>
      <c r="H9" s="16">
        <v>215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16.856869093015096</v>
      </c>
      <c r="B20" s="8">
        <f>COUNT(H3:H17)</f>
        <v>7</v>
      </c>
      <c r="C20" s="9">
        <f>IF(B20&lt;2,"n/a",(A20/D20))</f>
        <v>8.7759626681669589E-2</v>
      </c>
      <c r="D20" s="10">
        <f>IFERROR(ROUND(AVERAGE(H3:H17),2),"")</f>
        <v>192.08</v>
      </c>
      <c r="E20" s="15" t="str">
        <f>IFERROR(ROUND(IF(B20&lt;2,"n/a",(IF(C20&lt;=25%,"n/a",AVERAGE(I3:I17)))),2),"n/a")</f>
        <v>n/a</v>
      </c>
      <c r="F20" s="10">
        <f>IFERROR(ROUND(MEDIAN(H3:H17),2),"")</f>
        <v>195</v>
      </c>
      <c r="G20" s="11" t="str">
        <f>IFERROR(INDEX(G3:G17,MATCH(H20,H3:H17,0)),"")</f>
        <v>MEGABOR INDUSTRIA E COMERCIO DE EQUIPAMENTOS E VESTUARIO LTDA</v>
      </c>
      <c r="H20" s="12">
        <f>F3</f>
        <v>169.99</v>
      </c>
    </row>
    <row r="22" spans="1:9" x14ac:dyDescent="0.25">
      <c r="G22" s="13" t="s">
        <v>20</v>
      </c>
      <c r="H22" s="14">
        <f>IF(C20&lt;=25%,D20,MIN(E20:F20))</f>
        <v>192.08</v>
      </c>
    </row>
    <row r="23" spans="1:9" x14ac:dyDescent="0.25">
      <c r="G23" s="13" t="s">
        <v>6</v>
      </c>
      <c r="H23" s="14">
        <f>ROUND(H22,2)*D3</f>
        <v>76832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ht="15" customHeight="1" x14ac:dyDescent="0.25">
      <c r="A3" s="38">
        <v>21</v>
      </c>
      <c r="B3" s="34" t="s">
        <v>55</v>
      </c>
      <c r="C3" s="36" t="s">
        <v>7</v>
      </c>
      <c r="D3" s="36">
        <v>800</v>
      </c>
      <c r="E3" s="37">
        <f>IF(C20&lt;=25%,D20,MIN(E20:F20))</f>
        <v>36.659999999999997</v>
      </c>
      <c r="F3" s="37">
        <f>MIN(H3:H17)</f>
        <v>14.99</v>
      </c>
      <c r="G3" s="5" t="s">
        <v>137</v>
      </c>
      <c r="H3" s="16">
        <v>59.96</v>
      </c>
      <c r="I3" s="17">
        <f>IF(H3="","",(IF($C$20&lt;25%,"n/a",IF(H3&lt;=($D$20+$A$20),H3,"Descartado"))))</f>
        <v>59.96</v>
      </c>
    </row>
    <row r="4" spans="1:9" x14ac:dyDescent="0.25">
      <c r="A4" s="38"/>
      <c r="B4" s="35"/>
      <c r="C4" s="36"/>
      <c r="D4" s="36"/>
      <c r="E4" s="37"/>
      <c r="F4" s="37"/>
      <c r="G4" s="5" t="s">
        <v>138</v>
      </c>
      <c r="H4" s="16">
        <v>48</v>
      </c>
      <c r="I4" s="17">
        <f t="shared" ref="I4:I17" si="0">IF(H4="","",(IF($C$20&lt;25%,"n/a",IF(H4&lt;=($D$20+$A$20),H4,"Descartado"))))</f>
        <v>48</v>
      </c>
    </row>
    <row r="5" spans="1:9" x14ac:dyDescent="0.25">
      <c r="A5" s="38"/>
      <c r="B5" s="35"/>
      <c r="C5" s="36"/>
      <c r="D5" s="36"/>
      <c r="E5" s="37"/>
      <c r="F5" s="37"/>
      <c r="G5" s="5" t="s">
        <v>139</v>
      </c>
      <c r="H5" s="16">
        <v>45.13</v>
      </c>
      <c r="I5" s="17">
        <f t="shared" si="0"/>
        <v>45.13</v>
      </c>
    </row>
    <row r="6" spans="1:9" x14ac:dyDescent="0.25">
      <c r="A6" s="38"/>
      <c r="B6" s="35"/>
      <c r="C6" s="36"/>
      <c r="D6" s="36"/>
      <c r="E6" s="37"/>
      <c r="F6" s="37"/>
      <c r="G6" s="5" t="s">
        <v>140</v>
      </c>
      <c r="H6" s="16">
        <v>14.99</v>
      </c>
      <c r="I6" s="17">
        <f t="shared" si="0"/>
        <v>14.99</v>
      </c>
    </row>
    <row r="7" spans="1:9" x14ac:dyDescent="0.25">
      <c r="A7" s="38"/>
      <c r="B7" s="35"/>
      <c r="C7" s="36"/>
      <c r="D7" s="36"/>
      <c r="E7" s="37"/>
      <c r="F7" s="37"/>
      <c r="G7" s="5" t="s">
        <v>141</v>
      </c>
      <c r="H7" s="16">
        <v>21.99</v>
      </c>
      <c r="I7" s="17">
        <f t="shared" si="0"/>
        <v>21.99</v>
      </c>
    </row>
    <row r="8" spans="1:9" x14ac:dyDescent="0.25">
      <c r="A8" s="38"/>
      <c r="B8" s="35"/>
      <c r="C8" s="36"/>
      <c r="D8" s="36"/>
      <c r="E8" s="37"/>
      <c r="F8" s="37"/>
      <c r="G8" s="5" t="s">
        <v>142</v>
      </c>
      <c r="H8" s="16">
        <v>29.88</v>
      </c>
      <c r="I8" s="17">
        <f t="shared" si="0"/>
        <v>29.88</v>
      </c>
    </row>
    <row r="9" spans="1:9" x14ac:dyDescent="0.25">
      <c r="A9" s="38"/>
      <c r="B9" s="35"/>
      <c r="C9" s="36"/>
      <c r="D9" s="36"/>
      <c r="E9" s="37"/>
      <c r="F9" s="37"/>
      <c r="G9" s="5" t="s">
        <v>143</v>
      </c>
      <c r="H9" s="16">
        <v>70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20.11156336420369</v>
      </c>
      <c r="B20" s="8">
        <f>COUNT(H3:H17)</f>
        <v>7</v>
      </c>
      <c r="C20" s="9">
        <f>IF(B20&lt;2,"n/a",(A20/D20))</f>
        <v>0.48555198851288484</v>
      </c>
      <c r="D20" s="10">
        <f>IFERROR(ROUND(AVERAGE(H3:H17),2),"")</f>
        <v>41.42</v>
      </c>
      <c r="E20" s="15">
        <f>IFERROR(ROUND(IF(B20&lt;2,"n/a",(IF(C20&lt;=25%,"n/a",AVERAGE(I3:I17)))),2),"n/a")</f>
        <v>36.659999999999997</v>
      </c>
      <c r="F20" s="10">
        <f>IFERROR(ROUND(MEDIAN(H3:H17),2),"")</f>
        <v>45.13</v>
      </c>
      <c r="G20" s="11" t="str">
        <f>IFERROR(INDEX(G3:G17,MATCH(H20,H3:H17,0)),"")</f>
        <v>COMERCIAL TXV COMERCIO E SERVICO LTDA</v>
      </c>
      <c r="H20" s="12">
        <f>F3</f>
        <v>14.99</v>
      </c>
    </row>
    <row r="22" spans="1:9" x14ac:dyDescent="0.25">
      <c r="G22" s="13" t="s">
        <v>20</v>
      </c>
      <c r="H22" s="14">
        <f>IF(C20&lt;=25%,D20,MIN(E20:F20))</f>
        <v>36.659999999999997</v>
      </c>
    </row>
    <row r="23" spans="1:9" x14ac:dyDescent="0.25">
      <c r="G23" s="13" t="s">
        <v>6</v>
      </c>
      <c r="H23" s="14">
        <f>ROUND(H22,2)*D3</f>
        <v>29327.999999999996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ht="15" customHeight="1" x14ac:dyDescent="0.25">
      <c r="A3" s="38">
        <v>22</v>
      </c>
      <c r="B3" s="34" t="s">
        <v>56</v>
      </c>
      <c r="C3" s="36" t="s">
        <v>57</v>
      </c>
      <c r="D3" s="36">
        <v>50</v>
      </c>
      <c r="E3" s="37">
        <f>IF(C20&lt;=25%,D20,MIN(E20:F20))</f>
        <v>32</v>
      </c>
      <c r="F3" s="37">
        <f>MIN(H3:H17)</f>
        <v>14.4</v>
      </c>
      <c r="G3" s="5" t="s">
        <v>144</v>
      </c>
      <c r="H3" s="16">
        <v>25</v>
      </c>
      <c r="I3" s="17">
        <f>IF(H3="","",(IF($C$20&lt;25%,"n/a",IF(H3&lt;=($D$20+$A$20),H3,"Descartado"))))</f>
        <v>25</v>
      </c>
    </row>
    <row r="4" spans="1:9" x14ac:dyDescent="0.25">
      <c r="A4" s="38"/>
      <c r="B4" s="35"/>
      <c r="C4" s="36"/>
      <c r="D4" s="36"/>
      <c r="E4" s="37"/>
      <c r="F4" s="37"/>
      <c r="G4" s="5" t="s">
        <v>145</v>
      </c>
      <c r="H4" s="16">
        <v>99.5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146</v>
      </c>
      <c r="H5" s="16">
        <v>14.4</v>
      </c>
      <c r="I5" s="17">
        <f t="shared" si="0"/>
        <v>14.4</v>
      </c>
    </row>
    <row r="6" spans="1:9" x14ac:dyDescent="0.25">
      <c r="A6" s="38"/>
      <c r="B6" s="35"/>
      <c r="C6" s="36"/>
      <c r="D6" s="36"/>
      <c r="E6" s="37"/>
      <c r="F6" s="37"/>
      <c r="G6" s="5" t="s">
        <v>147</v>
      </c>
      <c r="H6" s="16">
        <v>32</v>
      </c>
      <c r="I6" s="17">
        <f t="shared" si="0"/>
        <v>32</v>
      </c>
    </row>
    <row r="7" spans="1:9" x14ac:dyDescent="0.25">
      <c r="A7" s="38"/>
      <c r="B7" s="35"/>
      <c r="C7" s="36"/>
      <c r="D7" s="36"/>
      <c r="E7" s="37"/>
      <c r="F7" s="37"/>
      <c r="G7" s="5" t="s">
        <v>148</v>
      </c>
      <c r="H7" s="16">
        <v>60.64</v>
      </c>
      <c r="I7" s="17">
        <f t="shared" si="0"/>
        <v>60.64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34.320785538795583</v>
      </c>
      <c r="B20" s="8">
        <f>COUNT(H3:H17)</f>
        <v>5</v>
      </c>
      <c r="C20" s="9">
        <f>IF(B20&lt;2,"n/a",(A20/D20))</f>
        <v>0.74110959919662234</v>
      </c>
      <c r="D20" s="10">
        <f>IFERROR(ROUND(AVERAGE(H3:H17),2),"")</f>
        <v>46.31</v>
      </c>
      <c r="E20" s="15">
        <f>IFERROR(ROUND(IF(B20&lt;2,"n/a",(IF(C20&lt;=25%,"n/a",AVERAGE(I3:I17)))),2),"n/a")</f>
        <v>33.01</v>
      </c>
      <c r="F20" s="10">
        <f>IFERROR(ROUND(MEDIAN(H3:H17),2),"")</f>
        <v>32</v>
      </c>
      <c r="G20" s="11" t="str">
        <f>IFERROR(INDEX(G3:G17,MATCH(H20,H3:H17,0)),"")</f>
        <v>GUASSO FERRAGENS LTDA</v>
      </c>
      <c r="H20" s="12">
        <f>F3</f>
        <v>14.4</v>
      </c>
    </row>
    <row r="22" spans="1:9" x14ac:dyDescent="0.25">
      <c r="G22" s="13" t="s">
        <v>20</v>
      </c>
      <c r="H22" s="14">
        <f>IF(C20&lt;=25%,D20,MIN(E20:F20))</f>
        <v>32</v>
      </c>
    </row>
    <row r="23" spans="1:9" x14ac:dyDescent="0.25">
      <c r="G23" s="13" t="s">
        <v>6</v>
      </c>
      <c r="H23" s="14">
        <f>ROUND(H22,2)*D3</f>
        <v>1600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 t="s">
        <v>58</v>
      </c>
      <c r="C3" s="36" t="s">
        <v>59</v>
      </c>
      <c r="D3" s="36">
        <v>2000</v>
      </c>
      <c r="E3" s="37">
        <f>IF(C20&lt;=25%,D20,MIN(E20:F20))</f>
        <v>17.16</v>
      </c>
      <c r="F3" s="37">
        <f>MIN(H3:H17)</f>
        <v>12</v>
      </c>
      <c r="G3" s="5" t="s">
        <v>215</v>
      </c>
      <c r="H3" s="16">
        <v>17.899999999999999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216</v>
      </c>
      <c r="H4" s="16">
        <v>17.809999999999999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217</v>
      </c>
      <c r="H5" s="16">
        <v>21.75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218</v>
      </c>
      <c r="H6" s="16">
        <v>23.76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219</v>
      </c>
      <c r="H7" s="16">
        <v>18.12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220</v>
      </c>
      <c r="H8" s="16">
        <v>15.95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151</v>
      </c>
      <c r="H9" s="16">
        <v>13.33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 t="s">
        <v>150</v>
      </c>
      <c r="H10" s="16">
        <v>12</v>
      </c>
      <c r="I10" s="17" t="str">
        <f t="shared" si="0"/>
        <v>n/a</v>
      </c>
    </row>
    <row r="11" spans="1:9" x14ac:dyDescent="0.25">
      <c r="A11" s="38"/>
      <c r="B11" s="35"/>
      <c r="C11" s="36"/>
      <c r="D11" s="36"/>
      <c r="E11" s="37"/>
      <c r="F11" s="37"/>
      <c r="G11" s="5" t="s">
        <v>149</v>
      </c>
      <c r="H11" s="16">
        <v>13.86</v>
      </c>
      <c r="I11" s="17" t="str">
        <f t="shared" si="0"/>
        <v>n/a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3.8756970699188686</v>
      </c>
      <c r="B20" s="8">
        <f>COUNT(H3:H17)</f>
        <v>9</v>
      </c>
      <c r="C20" s="9">
        <f>IF(B20&lt;2,"n/a",(A20/D20))</f>
        <v>0.22585647260599467</v>
      </c>
      <c r="D20" s="10">
        <f>IFERROR(ROUND(AVERAGE(H3:H17),2),"")</f>
        <v>17.16</v>
      </c>
      <c r="E20" s="15" t="str">
        <f>IFERROR(ROUND(IF(B20&lt;2,"n/a",(IF(C20&lt;=25%,"n/a",AVERAGE(I3:I17)))),2),"n/a")</f>
        <v>n/a</v>
      </c>
      <c r="F20" s="10">
        <f>IFERROR(ROUND(MEDIAN(H3:H17),2),"")</f>
        <v>17.809999999999999</v>
      </c>
      <c r="G20" s="11" t="str">
        <f>IFERROR(INDEX(G3:G17,MATCH(H20,H3:H17,0)),"")</f>
        <v>GTMED DISTRIBUIDORA DE MATERIAIS E EQUIPAMENTOS HOSPITALARES E ODONTOLOGICOS LTD</v>
      </c>
      <c r="H20" s="12">
        <f>F3</f>
        <v>12</v>
      </c>
    </row>
    <row r="22" spans="1:9" x14ac:dyDescent="0.25">
      <c r="G22" s="13" t="s">
        <v>20</v>
      </c>
      <c r="H22" s="14">
        <f>IF(C20&lt;=25%,D20,MIN(E20:F20))</f>
        <v>17.16</v>
      </c>
    </row>
    <row r="23" spans="1:9" x14ac:dyDescent="0.25">
      <c r="G23" s="13" t="s">
        <v>6</v>
      </c>
      <c r="H23" s="14">
        <f>ROUND(H22,2)*D3</f>
        <v>34320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 t="s">
        <v>60</v>
      </c>
      <c r="C3" s="36" t="s">
        <v>59</v>
      </c>
      <c r="D3" s="36">
        <v>500</v>
      </c>
      <c r="E3" s="37">
        <f>IF(C20&lt;=25%,D20,MIN(E20:F20))</f>
        <v>18.04</v>
      </c>
      <c r="F3" s="37">
        <f>MIN(H3:H17)</f>
        <v>12</v>
      </c>
      <c r="G3" s="5" t="s">
        <v>216</v>
      </c>
      <c r="H3" s="16">
        <v>16.829999999999998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221</v>
      </c>
      <c r="H4" s="16">
        <v>21.6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218</v>
      </c>
      <c r="H5" s="16">
        <v>23.76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152</v>
      </c>
      <c r="H6" s="16">
        <v>12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219</v>
      </c>
      <c r="H7" s="16">
        <v>17.899999999999999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220</v>
      </c>
      <c r="H8" s="16">
        <v>15.95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149</v>
      </c>
      <c r="H9" s="16">
        <v>18.239999999999998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3.824600196970489</v>
      </c>
      <c r="B20" s="8">
        <f>COUNT(H3:H17)</f>
        <v>7</v>
      </c>
      <c r="C20" s="9">
        <f>IF(B20&lt;2,"n/a",(A20/D20))</f>
        <v>0.21200666280324221</v>
      </c>
      <c r="D20" s="10">
        <f>IFERROR(ROUND(AVERAGE(H3:H17),2),"")</f>
        <v>18.04</v>
      </c>
      <c r="E20" s="15" t="str">
        <f>IFERROR(ROUND(IF(B20&lt;2,"n/a",(IF(C20&lt;=25%,"n/a",AVERAGE(I3:I17)))),2),"n/a")</f>
        <v>n/a</v>
      </c>
      <c r="F20" s="10">
        <f>IFERROR(ROUND(MEDIAN(H3:H17),2),"")</f>
        <v>17.899999999999999</v>
      </c>
      <c r="G20" s="11" t="str">
        <f>IFERROR(INDEX(G3:G17,MATCH(H20,H3:H17,0)),"")</f>
        <v>MALVAGLIA COMERCIAL LTDA</v>
      </c>
      <c r="H20" s="12">
        <f>F3</f>
        <v>12</v>
      </c>
    </row>
    <row r="22" spans="1:9" x14ac:dyDescent="0.25">
      <c r="G22" s="13" t="s">
        <v>20</v>
      </c>
      <c r="H22" s="14">
        <f>IF(C20&lt;=25%,D20,MIN(E20:F20))</f>
        <v>18.04</v>
      </c>
    </row>
    <row r="23" spans="1:9" x14ac:dyDescent="0.25">
      <c r="G23" s="13" t="s">
        <v>6</v>
      </c>
      <c r="H23" s="14">
        <f>ROUND(H22,2)*D3</f>
        <v>9020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 t="s">
        <v>61</v>
      </c>
      <c r="C3" s="36" t="s">
        <v>62</v>
      </c>
      <c r="D3" s="36">
        <v>500</v>
      </c>
      <c r="E3" s="37">
        <f>IF(C20&lt;=25%,D20,MIN(E20:F20))</f>
        <v>22.39</v>
      </c>
      <c r="F3" s="37">
        <f>MIN(H3:H17)</f>
        <v>17.899999999999999</v>
      </c>
      <c r="G3" s="5" t="s">
        <v>225</v>
      </c>
      <c r="H3" s="16">
        <v>23.75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226</v>
      </c>
      <c r="H4" s="16">
        <v>19.989999999999998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227</v>
      </c>
      <c r="H5" s="16">
        <v>27.9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228</v>
      </c>
      <c r="H6" s="16">
        <v>17.899999999999999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4.4018821731921367</v>
      </c>
      <c r="B20" s="8">
        <f>COUNT(H3:H17)</f>
        <v>4</v>
      </c>
      <c r="C20" s="9">
        <f>IF(B20&lt;2,"n/a",(A20/D20))</f>
        <v>0.19660036503761216</v>
      </c>
      <c r="D20" s="10">
        <f>IFERROR(ROUND(AVERAGE(H3:H17),2),"")</f>
        <v>22.39</v>
      </c>
      <c r="E20" s="15" t="str">
        <f>IFERROR(ROUND(IF(B20&lt;2,"n/a",(IF(C20&lt;=25%,"n/a",AVERAGE(I3:I17)))),2),"n/a")</f>
        <v>n/a</v>
      </c>
      <c r="F20" s="10">
        <f>IFERROR(ROUND(MEDIAN(H3:H17),2),"")</f>
        <v>21.87</v>
      </c>
      <c r="G20" s="11" t="str">
        <f>IFERROR(INDEX(G3:G17,MATCH(H20,H3:H17,0)),"")</f>
        <v>LOJA DO MECÂNICO</v>
      </c>
      <c r="H20" s="12">
        <f>F3</f>
        <v>17.899999999999999</v>
      </c>
    </row>
    <row r="22" spans="1:9" x14ac:dyDescent="0.25">
      <c r="G22" s="13" t="s">
        <v>20</v>
      </c>
      <c r="H22" s="14">
        <f>IF(C20&lt;=25%,D20,MIN(E20:F20))</f>
        <v>22.39</v>
      </c>
    </row>
    <row r="23" spans="1:9" x14ac:dyDescent="0.25">
      <c r="G23" s="13" t="s">
        <v>6</v>
      </c>
      <c r="H23" s="14">
        <f>ROUND(H22,2)*D3</f>
        <v>11195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view="pageBreakPreview" topLeftCell="A16" zoomScaleNormal="100" zoomScaleSheetLayoutView="100" workbookViewId="0">
      <selection activeCell="G35" sqref="G35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95" x14ac:dyDescent="0.25">
      <c r="A3" s="25" t="s">
        <v>34</v>
      </c>
      <c r="B3" s="25">
        <f>Item1!A3</f>
        <v>1</v>
      </c>
      <c r="C3" s="27" t="str">
        <f>Item1!B3</f>
        <v>FITA ADESIVA
Em polipropileno;
Dimensões: 48mm x 50m – largura x comprimento;
Incolor;
Com impressão ao longo do comprimento, com intervalos regulares de 5 cm, da inscrição ‘TRE-BA’
Tamanho aproximado da fonte: 1 cm (+ 0,2cm);
Acondicionadas em caixas;
É obrigatório o fornecimento de prova para exame antes da confecção final.</v>
      </c>
      <c r="D3" s="25" t="str">
        <f>Item1!C3</f>
        <v>rolo</v>
      </c>
      <c r="E3" s="25">
        <f>Item1!D3</f>
        <v>20000</v>
      </c>
      <c r="F3" s="26">
        <f>Item1!E3</f>
        <v>3.8</v>
      </c>
      <c r="G3" s="26">
        <f>ROUND((E3*F3),2)</f>
        <v>76000</v>
      </c>
    </row>
    <row r="4" spans="1:7" ht="120" x14ac:dyDescent="0.25">
      <c r="A4" s="25" t="s">
        <v>34</v>
      </c>
      <c r="B4" s="25">
        <f>Item2!A3</f>
        <v>2</v>
      </c>
      <c r="C4" s="27" t="str">
        <f>Item2!B3</f>
        <v>FITA ADESIVA
Em polipropileno;
Dimensões: 48mm x 50m – largura x comprimento;
Incolor;
Sem impressão;
Acondicionadas em caixas com até 100 unidades.</v>
      </c>
      <c r="D4" s="25" t="str">
        <f>Item2!C3</f>
        <v>rolo</v>
      </c>
      <c r="E4" s="25">
        <f>Item2!D3</f>
        <v>10000</v>
      </c>
      <c r="F4" s="26">
        <f>Item2!E3</f>
        <v>3.17</v>
      </c>
      <c r="G4" s="26">
        <f t="shared" ref="G4:G29" si="0">ROUND((E4*F4),2)</f>
        <v>31700</v>
      </c>
    </row>
    <row r="5" spans="1:7" ht="75" x14ac:dyDescent="0.25">
      <c r="A5" s="25" t="s">
        <v>34</v>
      </c>
      <c r="B5" s="25">
        <f>Item3!A3</f>
        <v>3</v>
      </c>
      <c r="C5" s="27" t="str">
        <f>Item3!B3</f>
        <v>FOLHA ISOPOR
Comprimento: 1 m;
Largura: 0,50 m;
Espessura: 25 mm.
Podendo variar em +/- 0,5cm</v>
      </c>
      <c r="D5" s="25" t="str">
        <f>Item3!C3</f>
        <v>unidade</v>
      </c>
      <c r="E5" s="25">
        <f>Item3!D3</f>
        <v>1000</v>
      </c>
      <c r="F5" s="26">
        <f>Item3!E3</f>
        <v>7.8</v>
      </c>
      <c r="G5" s="26">
        <f t="shared" si="0"/>
        <v>7800</v>
      </c>
    </row>
    <row r="6" spans="1:7" ht="90" x14ac:dyDescent="0.25">
      <c r="A6" s="25" t="s">
        <v>34</v>
      </c>
      <c r="B6" s="25">
        <f>Item4!A3</f>
        <v>4</v>
      </c>
      <c r="C6" s="27" t="str">
        <f>Item4!B3</f>
        <v>SACO PLÁSTICO
Em polipropileno;
Transparente;
Dimensão: 30 x 40 cm (largura x altura);
Espessura mínima de 6 micras;
Embalagem: pacote com 100 unidades.</v>
      </c>
      <c r="D6" s="25" t="str">
        <f>Item4!C3</f>
        <v>pacote</v>
      </c>
      <c r="E6" s="25">
        <f>Item4!D3</f>
        <v>1000</v>
      </c>
      <c r="F6" s="26">
        <f>Item4!E3</f>
        <v>16.78</v>
      </c>
      <c r="G6" s="26">
        <f t="shared" si="0"/>
        <v>16780</v>
      </c>
    </row>
    <row r="7" spans="1:7" ht="225" x14ac:dyDescent="0.25">
      <c r="A7" s="25" t="s">
        <v>34</v>
      </c>
      <c r="B7" s="25">
        <f>Item5!A3</f>
        <v>5</v>
      </c>
      <c r="C7" s="27" t="str">
        <f>Item5!B3</f>
        <v>CAIXA ARQUIVO
Confeccionadas em papelão;
Parede simples;
Paredes externas na cor branca;
Baixa acidez (ph acima de 6);
Dimensões da caixa montada: (14 x 24 x 38) cm, correspondendo respectivamente a largura, altura e profundidade (podendo variar em +/- 1 cm);
Em fardos cintados com duas fitas;
Estritamente conforme modelo disponível na Seção de Gestão de Almoxarifado do TRE-BA;
É obrigatório o fornecimento de prova para exame antes da confecção final.</v>
      </c>
      <c r="D7" s="25" t="str">
        <f>Item5!C3</f>
        <v>unidade</v>
      </c>
      <c r="E7" s="25">
        <f>Item5!D3</f>
        <v>3000</v>
      </c>
      <c r="F7" s="26">
        <f>Item5!E3</f>
        <v>2.92</v>
      </c>
      <c r="G7" s="26">
        <f t="shared" si="0"/>
        <v>8760</v>
      </c>
    </row>
    <row r="8" spans="1:7" ht="195" x14ac:dyDescent="0.25">
      <c r="A8" s="25" t="s">
        <v>34</v>
      </c>
      <c r="B8" s="25">
        <f>Item6!A3</f>
        <v>6</v>
      </c>
      <c r="C8" s="27" t="str">
        <f>Item6!B3</f>
        <v>CAIXA DE PAPELÃO
De parede simples;
Confeccionadas em Kraft Gramatura: 450g/m2;
Dimensões da caixa montada: (37 x 29 x 24,5) cm (comprimento x largura x altura). (podendo variar em +/- 0,5cm);
Embalagem: fardo com 25 unidades, cintados com 2 fitas;
Conforme modelo disponível na Seção de Gestão de Almoxarifado do TRE-BA
É obrigatório o fornecimento de prova para exame antes da confecção final.</v>
      </c>
      <c r="D8" s="25" t="str">
        <f>Item6!C3</f>
        <v>unidade</v>
      </c>
      <c r="E8" s="25">
        <f>Item6!D3</f>
        <v>15000</v>
      </c>
      <c r="F8" s="26">
        <f>Item6!E3</f>
        <v>8.41</v>
      </c>
      <c r="G8" s="26">
        <f t="shared" si="0"/>
        <v>126150</v>
      </c>
    </row>
    <row r="9" spans="1:7" ht="195" x14ac:dyDescent="0.25">
      <c r="A9" s="25" t="s">
        <v>34</v>
      </c>
      <c r="B9" s="25">
        <f>Item7!A3</f>
        <v>7</v>
      </c>
      <c r="C9" s="27" t="str">
        <f>Item7!B3</f>
        <v>CAIXA DE PAPELÃO
De parede simples;
Confeccionadas em Kraft Gramatura: 450 g/m2;
Dimensões da caixa montada: (37 x 29 x 12,5) cm (comprimento x largura x altura). (podendo variar em +/- 0,5cm);
Embalagem: fardo com 25 unidades, cintados com 2 fitas;
Conforme modelo disponível na Seção de Gestão de Almoxarifado do TRE-BA;
É obrigatório o fornecimento de prova para exame antes da confecção final.</v>
      </c>
      <c r="D9" s="25" t="str">
        <f>Item7!C3</f>
        <v>unidade</v>
      </c>
      <c r="E9" s="25">
        <f>Item7!D3</f>
        <v>10000</v>
      </c>
      <c r="F9" s="26">
        <f>Item7!E3</f>
        <v>3.86</v>
      </c>
      <c r="G9" s="26">
        <f t="shared" si="0"/>
        <v>38600</v>
      </c>
    </row>
    <row r="10" spans="1:7" ht="105" x14ac:dyDescent="0.25">
      <c r="A10" s="25" t="s">
        <v>34</v>
      </c>
      <c r="B10" s="25">
        <f>Item8!A3</f>
        <v>8</v>
      </c>
      <c r="C10" s="27" t="str">
        <f>Item8!B3</f>
        <v>BARBANTE DE ALGODÃO
Cor branca;
Rolo com 250g;
N.º 8;
Em embalagem individual;
Acondicionado em embalagens com até 20 unidades.</v>
      </c>
      <c r="D10" s="25" t="str">
        <f>Item8!C3</f>
        <v>rolo</v>
      </c>
      <c r="E10" s="25">
        <f>Item8!D3</f>
        <v>500</v>
      </c>
      <c r="F10" s="26">
        <f>Item8!E3</f>
        <v>12.28</v>
      </c>
      <c r="G10" s="26">
        <f t="shared" si="0"/>
        <v>6140</v>
      </c>
    </row>
    <row r="11" spans="1:7" ht="75" x14ac:dyDescent="0.25">
      <c r="A11" s="25" t="s">
        <v>34</v>
      </c>
      <c r="B11" s="25">
        <f>Item9!A3</f>
        <v>9</v>
      </c>
      <c r="C11" s="27" t="str">
        <f>Item9!B3</f>
        <v>FITILHO
Em nylon;
Rolo com 1000g;
Embalados em fardos com até 25 unidades.</v>
      </c>
      <c r="D11" s="25" t="str">
        <f>Item9!C3</f>
        <v>rolo</v>
      </c>
      <c r="E11" s="25">
        <f>Item9!D3</f>
        <v>400</v>
      </c>
      <c r="F11" s="26">
        <f>Item9!E3</f>
        <v>16.39</v>
      </c>
      <c r="G11" s="26">
        <f t="shared" si="0"/>
        <v>6556</v>
      </c>
    </row>
    <row r="12" spans="1:7" ht="135" x14ac:dyDescent="0.25">
      <c r="A12" s="25" t="s">
        <v>34</v>
      </c>
      <c r="B12" s="25">
        <f>Item10!A3</f>
        <v>10</v>
      </c>
      <c r="C12" s="27" t="str">
        <f>Item10!B3</f>
        <v>PAPEL EMBRULHO
Apresentação: Folha
Cor: parda
Dimensões mínimas: 96 cm x 66 cm,
Tipo de papel: Kraft
Gramatura mínima 80 g/m2
Para embalagem em geral     
Acondicionados em pacotes com até 100 folhas.</v>
      </c>
      <c r="D12" s="25" t="str">
        <f>Item10!C3</f>
        <v>unidade</v>
      </c>
      <c r="E12" s="25">
        <f>Item10!D3</f>
        <v>2000</v>
      </c>
      <c r="F12" s="26">
        <f>Item10!E3</f>
        <v>1.02</v>
      </c>
      <c r="G12" s="26">
        <f t="shared" si="0"/>
        <v>2040</v>
      </c>
    </row>
    <row r="13" spans="1:7" ht="120" x14ac:dyDescent="0.25">
      <c r="A13" s="25" t="s">
        <v>34</v>
      </c>
      <c r="B13" s="25">
        <f>Item11!A3</f>
        <v>11</v>
      </c>
      <c r="C13" s="27" t="str">
        <f>Item11!B3</f>
        <v>PAPEL EMBRULHO
Cor: Branco
Apresentação: Folha
Dimensões mínimas: 96 cm x 66 cm,
Em Kraft, Gramatura mínima 80 g/m2,
Para embalagem em geral
Acondicionados em pacotes com até 100 folhas.</v>
      </c>
      <c r="D13" s="25" t="str">
        <f>Item11!C3</f>
        <v>unidade</v>
      </c>
      <c r="E13" s="25">
        <f>Item11!D3</f>
        <v>1000</v>
      </c>
      <c r="F13" s="26">
        <f>Item11!E3</f>
        <v>0.95</v>
      </c>
      <c r="G13" s="26">
        <f t="shared" si="0"/>
        <v>950</v>
      </c>
    </row>
    <row r="14" spans="1:7" ht="180" x14ac:dyDescent="0.25">
      <c r="A14" s="25" t="s">
        <v>34</v>
      </c>
      <c r="B14" s="25">
        <f>Item12!A3</f>
        <v>12</v>
      </c>
      <c r="C14" s="27" t="str">
        <f>Item12!B3</f>
        <v>ENVELOPE PARDO
Papel Kraft natural monolúcido
Dimensões: 41 cm x 31 cm (±1 cm)
Face externa em alta lisura
Gramatura não inferior a 80 g/m2
Com Brasão da República 
Inscrição, em cor preta, conforme anexo B.2.
Conforme modelo disponível na Seção de Gestão de Almoxarifado do TRE-BA
Acondicionados em caixas de papelão com 250 unidades</v>
      </c>
      <c r="D14" s="25" t="str">
        <f>Item12!C3</f>
        <v>unidade</v>
      </c>
      <c r="E14" s="25">
        <f>Item12!D3</f>
        <v>75000</v>
      </c>
      <c r="F14" s="26">
        <f>Item12!E3</f>
        <v>1.1299999999999999</v>
      </c>
      <c r="G14" s="26">
        <f t="shared" si="0"/>
        <v>84750</v>
      </c>
    </row>
    <row r="15" spans="1:7" ht="195" x14ac:dyDescent="0.25">
      <c r="A15" s="25" t="s">
        <v>34</v>
      </c>
      <c r="B15" s="25">
        <f>Item13!A3</f>
        <v>13</v>
      </c>
      <c r="C15" s="27" t="str">
        <f>Item13!B3</f>
        <v>ENVELOPE BRANCO
Papel alcalino
Dimensões: 23 x 11,5 cm (±1 cm)
Gramatura não inferior a 75 g/m2
Tipo correspondência
Com visor tipo janela revestido em plástico transparente
Inscrição, em cor preta, conforme anexo B.3
Dimensões e posicionamento da janela conforme anexo B.3
Acondicionados em caixas de papelão com 1000 un.</v>
      </c>
      <c r="D15" s="25" t="str">
        <f>Item13!C3</f>
        <v>unidade</v>
      </c>
      <c r="E15" s="25">
        <f>Item13!D3</f>
        <v>100000</v>
      </c>
      <c r="F15" s="26">
        <f>Item13!E3</f>
        <v>0.27</v>
      </c>
      <c r="G15" s="26">
        <f t="shared" si="0"/>
        <v>27000</v>
      </c>
    </row>
    <row r="16" spans="1:7" ht="315" x14ac:dyDescent="0.25">
      <c r="A16" s="25" t="s">
        <v>34</v>
      </c>
      <c r="B16" s="25">
        <f>Item14!A3</f>
        <v>14</v>
      </c>
      <c r="C16" s="27" t="str">
        <f>Item14!B3</f>
        <v>PASTA TIPO MALOTE
Material Bagum;
Cor: verde floresta;
Dimensões: 40 x 33 x 1,5 cm (LxAxP) – variação ± 1,0 cm na altura ou na largura;
Com zíper e dois cursores nº 3, em cor preta;
Com bolso em plástico cristal transparente, com abertura no lado direito;
Acabamento em debrum, na cor amarelo claro;
Estampa do brasão da república e demais inscrições na cor branca;
Inscrições: Justiça Eleitoral
Tribunal Regional Eleitoral da Bahia
Conforme modelo apresentado no Anexo B.4, disponível na Seção de Gestão de Almoxarifado do TRE/BA.
Necessário o fornecimento de prova.</v>
      </c>
      <c r="D16" s="25" t="str">
        <f>Item14!C3</f>
        <v>unidade</v>
      </c>
      <c r="E16" s="25">
        <f>Item14!D3</f>
        <v>20000</v>
      </c>
      <c r="F16" s="26">
        <f>Item14!E3</f>
        <v>7.67</v>
      </c>
      <c r="G16" s="26">
        <f t="shared" si="0"/>
        <v>153400</v>
      </c>
    </row>
    <row r="17" spans="1:7" ht="45" x14ac:dyDescent="0.25">
      <c r="A17" s="25" t="s">
        <v>34</v>
      </c>
      <c r="B17" s="25">
        <f>Item15!A3</f>
        <v>15</v>
      </c>
      <c r="C17" s="27" t="str">
        <f>Item15!B3</f>
        <v>PLÁSTICO BOLHA
Bobina 1,30 x 100 metros;
Bolhas com, no máximo, 1cm.</v>
      </c>
      <c r="D17" s="25" t="str">
        <f>Item15!C3</f>
        <v>unidade</v>
      </c>
      <c r="E17" s="25">
        <f>Item15!D3</f>
        <v>100</v>
      </c>
      <c r="F17" s="26">
        <f>Item15!E3</f>
        <v>130.02000000000001</v>
      </c>
      <c r="G17" s="26">
        <f t="shared" si="0"/>
        <v>13002</v>
      </c>
    </row>
    <row r="18" spans="1:7" ht="180" x14ac:dyDescent="0.25">
      <c r="A18" s="25" t="s">
        <v>34</v>
      </c>
      <c r="B18" s="25">
        <f>Item16!A3</f>
        <v>16</v>
      </c>
      <c r="C18" s="27" t="str">
        <f>Item16!B3</f>
        <v>FILME PARA EMBALAGEM, EM POLIETILENO, TIPO STRETCH
Para aplicação manual;
Para vedação de paletes e proteção do material;
Isento de partículas estranhas, ranhuras, furos e deformações;
Inodoro, incolor e com transparência;
Dimensões: Largura 500mm; Espessura 0,025mm (25 micra);
Peso aproximado de 4,5kg admitida variação de, no máximo, 10%.</v>
      </c>
      <c r="D18" s="25" t="str">
        <f>Item16!C3</f>
        <v>unidade</v>
      </c>
      <c r="E18" s="25">
        <f>Item16!D3</f>
        <v>300</v>
      </c>
      <c r="F18" s="26">
        <f>Item16!E3</f>
        <v>43.28</v>
      </c>
      <c r="G18" s="26">
        <f t="shared" si="0"/>
        <v>12984</v>
      </c>
    </row>
    <row r="19" spans="1:7" ht="120" x14ac:dyDescent="0.25">
      <c r="A19" s="25" t="s">
        <v>34</v>
      </c>
      <c r="B19" s="25">
        <f>Item17!A3</f>
        <v>17</v>
      </c>
      <c r="C19" s="27" t="str">
        <f>Item17!B3</f>
        <v>CADEADO
Corpo em latão maciço;
Haste em aço cromado;
Cor amarelo bronze;
Largura: 50 mm;
Altura: 80 mm;
Acondicionados individualmente em caixa de papelão.</v>
      </c>
      <c r="D19" s="25" t="str">
        <f>Item17!C3</f>
        <v>unidade</v>
      </c>
      <c r="E19" s="25">
        <f>Item17!D3</f>
        <v>200</v>
      </c>
      <c r="F19" s="26">
        <f>Item17!E3</f>
        <v>22.3</v>
      </c>
      <c r="G19" s="26">
        <f t="shared" si="0"/>
        <v>4460</v>
      </c>
    </row>
    <row r="20" spans="1:7" ht="120" x14ac:dyDescent="0.25">
      <c r="A20" s="25" t="s">
        <v>34</v>
      </c>
      <c r="B20" s="25">
        <f>Item18!A3</f>
        <v>18</v>
      </c>
      <c r="C20" s="27" t="str">
        <f>Item18!B3</f>
        <v>CADEADO
Corpo em latão maciço;
Haste em aço cromado;
Cor amarelo bronze;
Largura: 20 mm;
Altura: 40 mm;
Acondicionados individualmente em caixa de papelão.</v>
      </c>
      <c r="D20" s="25" t="str">
        <f>Item18!C3</f>
        <v>unidade</v>
      </c>
      <c r="E20" s="25">
        <f>Item18!D3</f>
        <v>200</v>
      </c>
      <c r="F20" s="26">
        <f>Item18!E3</f>
        <v>12.8</v>
      </c>
      <c r="G20" s="26">
        <f t="shared" si="0"/>
        <v>2560</v>
      </c>
    </row>
    <row r="21" spans="1:7" ht="270" x14ac:dyDescent="0.25">
      <c r="A21" s="25" t="s">
        <v>34</v>
      </c>
      <c r="B21" s="25">
        <f>Item19!A3</f>
        <v>19</v>
      </c>
      <c r="C21" s="27" t="str">
        <f>Item19!B3</f>
        <v>PALETE EM MADEIRA
PBR-I – padrão brasileiro;
Em madeira de reflorestamento;
Não reversível;
Dupla face;
Quatro entradas, que permitam movimentação com paleteira ou empilhadeira;
Dimensões: 1200 mm x 1000 mm x 148 mm (comprimento x largura x altura);
Capacidade de carga: Dinâmica – 1.500kg;
Estática – 3.000kg;
Espessura da madeira: 24 mm para a face superior, face inferior e tábua de ligação; 76 mm para o bloco;
Conforme modelo constante do anexo B.2</v>
      </c>
      <c r="D21" s="25" t="str">
        <f>Item19!C3</f>
        <v>unidade</v>
      </c>
      <c r="E21" s="25">
        <f>Item19!D3</f>
        <v>800</v>
      </c>
      <c r="F21" s="26">
        <f>Item19!E3</f>
        <v>76.61</v>
      </c>
      <c r="G21" s="26">
        <f t="shared" si="0"/>
        <v>61288</v>
      </c>
    </row>
    <row r="22" spans="1:7" ht="180" x14ac:dyDescent="0.25">
      <c r="A22" s="25" t="s">
        <v>34</v>
      </c>
      <c r="B22" s="25">
        <f>Item20!A3</f>
        <v>20</v>
      </c>
      <c r="C22" s="27" t="str">
        <f>Item20!B3</f>
        <v>PALETE EM PLÁSTICO
Na cor preta, vazado
Alta durabilidade e alta densidade;
Capacidade mínima de carga: dinâmica de 1.500Kg; estática de 3.000Kg;
Medidas aproximadas: 1200mm x 1000mm de área superior e altura de 170mm;
Fendas nas laterais para manuseio por meio de carro plataforma;
Com runner (sapata e deslizante)
Para uso em estante porta palete.</v>
      </c>
      <c r="D22" s="25" t="str">
        <f>Item20!C3</f>
        <v>unidade</v>
      </c>
      <c r="E22" s="25">
        <f>Item20!D3</f>
        <v>400</v>
      </c>
      <c r="F22" s="26">
        <f>Item20!E3</f>
        <v>192.08</v>
      </c>
      <c r="G22" s="26">
        <f t="shared" si="0"/>
        <v>76832</v>
      </c>
    </row>
    <row r="23" spans="1:7" ht="135" x14ac:dyDescent="0.25">
      <c r="A23" s="25" t="s">
        <v>34</v>
      </c>
      <c r="B23" s="25">
        <f>Item21!A3</f>
        <v>21</v>
      </c>
      <c r="C23" s="27" t="str">
        <f>Item21!B3</f>
        <v>CONE PARA SINALIZAÇÃO
Confeccionado em PVC flexível moldado (sem emendas)
Predominantemente na cor laranja,
Com, no mínimo, 700 mm de altura e largura da base de 360 mm,
Com duas faixas brancas
Refletividade conforme películas tipo II (NBR 14644 da ABNT).</v>
      </c>
      <c r="D23" s="25" t="str">
        <f>Item21!C3</f>
        <v>unidade</v>
      </c>
      <c r="E23" s="25">
        <f>Item21!D3</f>
        <v>800</v>
      </c>
      <c r="F23" s="26">
        <f>Item21!E3</f>
        <v>36.659999999999997</v>
      </c>
      <c r="G23" s="26">
        <f t="shared" si="0"/>
        <v>29328</v>
      </c>
    </row>
    <row r="24" spans="1:7" ht="60" x14ac:dyDescent="0.25">
      <c r="A24" s="25" t="s">
        <v>34</v>
      </c>
      <c r="B24" s="25">
        <f>Item22!A3</f>
        <v>22</v>
      </c>
      <c r="C24" s="27" t="str">
        <f>Item22!B3</f>
        <v>CORRENTE SOLDADA 
Material: ferro galvanizado
Com elos curtos e soldados;
Bitola: ¼ polegada</v>
      </c>
      <c r="D24" s="25" t="str">
        <f>Item22!C3</f>
        <v>metro</v>
      </c>
      <c r="E24" s="25">
        <f>Item22!D3</f>
        <v>50</v>
      </c>
      <c r="F24" s="26">
        <f>Item22!E3</f>
        <v>32</v>
      </c>
      <c r="G24" s="26">
        <f t="shared" si="0"/>
        <v>1600</v>
      </c>
    </row>
    <row r="25" spans="1:7" ht="135" x14ac:dyDescent="0.25">
      <c r="A25" s="25" t="s">
        <v>34</v>
      </c>
      <c r="B25" s="25">
        <f>Item23!A3</f>
        <v>23</v>
      </c>
      <c r="C25" s="27" t="str">
        <f>Item23!B3</f>
        <v>LUVA PARA PROCEDIMENTO NÃO CIRÚRGICO
Composição: Látex de borracha natural; 
Tamanho: M – Médio; 
Não Estéril; 
Com pó bioabsorvível; Ambidestra; Cor: Creme; Embalagem com 100 unidades; Prazo de validade não inferior a 12 meses contados do recebimento definitivo</v>
      </c>
      <c r="D25" s="25" t="str">
        <f>Item23!C3</f>
        <v>caixa</v>
      </c>
      <c r="E25" s="25">
        <f>Item23!D3</f>
        <v>2000</v>
      </c>
      <c r="F25" s="26">
        <f>Item23!E3</f>
        <v>17.16</v>
      </c>
      <c r="G25" s="26">
        <f t="shared" si="0"/>
        <v>34320</v>
      </c>
    </row>
    <row r="26" spans="1:7" ht="150" x14ac:dyDescent="0.25">
      <c r="A26" s="25" t="s">
        <v>34</v>
      </c>
      <c r="B26" s="25">
        <f>Item24!A3</f>
        <v>24</v>
      </c>
      <c r="C26" s="27" t="str">
        <f>Item24!B3</f>
        <v>LUVA PARA PROCEDIMENTO NÃO CIRÚRGICO
Composição: Látex de borracha natural; 
Tamanho: G – Grande; 
Não Estéril; 
Com pó bioabsorvível; Ambidestra; Cor: Creme; Embalagem com 100 unidades; Prazo de validade não inferior a 12 meses contados do recebimento definitivo.</v>
      </c>
      <c r="D26" s="25" t="str">
        <f>Item24!C3</f>
        <v>caixa</v>
      </c>
      <c r="E26" s="25">
        <f>Item24!D3</f>
        <v>500</v>
      </c>
      <c r="F26" s="26">
        <f>Item24!E3</f>
        <v>18.04</v>
      </c>
      <c r="G26" s="26">
        <f t="shared" si="0"/>
        <v>9020</v>
      </c>
    </row>
    <row r="27" spans="1:7" ht="300" x14ac:dyDescent="0.25">
      <c r="A27" s="25" t="s">
        <v>34</v>
      </c>
      <c r="B27" s="25">
        <f>Item25!A3</f>
        <v>25</v>
      </c>
      <c r="C27" s="27" t="str">
        <f>Item25!B3</f>
        <v>REMOVEDOR DE ADESIVOS E RESÍDUOS DE COLAS E LACRES
Tipo: Solvente líquido, removedor de cola de etiquetas e adesivos, dentre outras colas pegajosas;
Produto que permita aplicação em superfícies de acrílico, metal, PVC e demais tipo de plástico;
Isento de solventes nocivos e metais pesados;
Acondicionados em frascos de 120 ml, com dosador, podendo variar em até 20ml para mais ou menos.
Embalagem com impressão do nome do fabricante e indicação de registro na ANVISA/MS;
Não inflamável;
Prazo de validade mínimo de 18 meses.
O material deverá estar acondicionado em caixas com até 12 unidades.</v>
      </c>
      <c r="D27" s="25" t="str">
        <f>Item25!C3</f>
        <v>frasco</v>
      </c>
      <c r="E27" s="25">
        <f>Item25!D3</f>
        <v>500</v>
      </c>
      <c r="F27" s="26">
        <f>Item25!E3</f>
        <v>22.39</v>
      </c>
      <c r="G27" s="26">
        <f t="shared" si="0"/>
        <v>11195</v>
      </c>
    </row>
    <row r="28" spans="1:7" hidden="1" x14ac:dyDescent="0.25">
      <c r="A28" s="25" t="s">
        <v>34</v>
      </c>
      <c r="B28" s="25">
        <f>Item26!A3</f>
        <v>26</v>
      </c>
      <c r="C28" s="27">
        <f>Item26!B3</f>
        <v>0</v>
      </c>
      <c r="D28" s="25" t="str">
        <f>Item26!C3</f>
        <v>unidade</v>
      </c>
      <c r="E28" s="25">
        <f>Item26!D3</f>
        <v>0</v>
      </c>
      <c r="F28" s="26">
        <f>Item26!E3</f>
        <v>0</v>
      </c>
      <c r="G28" s="26">
        <f t="shared" si="0"/>
        <v>0</v>
      </c>
    </row>
    <row r="29" spans="1:7" hidden="1" x14ac:dyDescent="0.25">
      <c r="A29" s="25" t="s">
        <v>34</v>
      </c>
      <c r="B29" s="25">
        <f>Item27!A3</f>
        <v>27</v>
      </c>
      <c r="C29" s="27">
        <f>Item27!B3</f>
        <v>0</v>
      </c>
      <c r="D29" s="25" t="str">
        <f>Item27!C3</f>
        <v>unidade</v>
      </c>
      <c r="E29" s="25">
        <f>Item27!D3</f>
        <v>0</v>
      </c>
      <c r="F29" s="26">
        <f>Item27!E3</f>
        <v>0</v>
      </c>
      <c r="G29" s="26">
        <f t="shared" si="0"/>
        <v>0</v>
      </c>
    </row>
    <row r="30" spans="1:7" x14ac:dyDescent="0.25">
      <c r="A30" s="28"/>
      <c r="B30" s="28"/>
      <c r="C30" s="29"/>
      <c r="D30" s="30"/>
      <c r="E30" s="30"/>
      <c r="F30" s="31"/>
      <c r="G30" s="31"/>
    </row>
    <row r="31" spans="1:7" ht="15.75" thickBot="1" x14ac:dyDescent="0.3"/>
    <row r="32" spans="1:7" ht="16.5" thickTop="1" thickBot="1" x14ac:dyDescent="0.3">
      <c r="D32" s="22"/>
      <c r="E32" s="23" t="s">
        <v>33</v>
      </c>
      <c r="F32" s="24">
        <f>SUM(G:G)</f>
        <v>843215</v>
      </c>
    </row>
    <row r="33" spans="4:6" ht="15.75" thickTop="1" x14ac:dyDescent="0.25">
      <c r="F33" s="3"/>
    </row>
    <row r="34" spans="4:6" x14ac:dyDescent="0.25">
      <c r="D34" s="21" t="s">
        <v>32</v>
      </c>
      <c r="E34" s="13">
        <f>MAX(A:A)</f>
        <v>0</v>
      </c>
    </row>
    <row r="36" spans="4:6" x14ac:dyDescent="0.25">
      <c r="D36" s="18" t="s">
        <v>31</v>
      </c>
      <c r="E36" s="19">
        <v>1</v>
      </c>
      <c r="F36" s="20">
        <f>SUMIF(A:A,E36,G:G)</f>
        <v>0</v>
      </c>
    </row>
    <row r="37" spans="4:6" x14ac:dyDescent="0.25">
      <c r="D37" s="18" t="s">
        <v>31</v>
      </c>
      <c r="E37" s="19">
        <v>2</v>
      </c>
      <c r="F37" s="20">
        <f>SUMIF(A:A,E37,G:G)</f>
        <v>0</v>
      </c>
    </row>
    <row r="38" spans="4:6" x14ac:dyDescent="0.25">
      <c r="D38" s="18" t="s">
        <v>31</v>
      </c>
      <c r="E38" s="19">
        <v>3</v>
      </c>
      <c r="F38" s="20">
        <f>SUMIF(A:A,E38,G:G)</f>
        <v>0</v>
      </c>
    </row>
    <row r="39" spans="4:6" x14ac:dyDescent="0.25">
      <c r="D39" s="18" t="s">
        <v>31</v>
      </c>
      <c r="E39" s="19">
        <v>4</v>
      </c>
      <c r="F39" s="20">
        <f>SUMIF(A:A,E39,G:G)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rowBreaks count="1" manualBreakCount="1">
    <brk id="24" max="6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39</v>
      </c>
      <c r="C3" s="36" t="s">
        <v>7</v>
      </c>
      <c r="D3" s="36">
        <v>1000</v>
      </c>
      <c r="E3" s="37">
        <f>IF(C20&lt;=25%,D20,MIN(E20:F20))</f>
        <v>7.8</v>
      </c>
      <c r="F3" s="37">
        <f>MIN(H3:H17)</f>
        <v>5.8</v>
      </c>
      <c r="G3" s="5" t="s">
        <v>69</v>
      </c>
      <c r="H3" s="16">
        <v>9.33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5.8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5.9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72</v>
      </c>
      <c r="H6" s="16">
        <v>9.6199999999999992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73</v>
      </c>
      <c r="H7" s="16">
        <v>5.85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74</v>
      </c>
      <c r="H8" s="16">
        <v>8.99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75</v>
      </c>
      <c r="H9" s="16">
        <v>6.3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 t="s">
        <v>76</v>
      </c>
      <c r="H10" s="16">
        <v>9.94</v>
      </c>
      <c r="I10" s="17" t="str">
        <f t="shared" si="0"/>
        <v>n/a</v>
      </c>
    </row>
    <row r="11" spans="1:9" x14ac:dyDescent="0.25">
      <c r="A11" s="38"/>
      <c r="B11" s="35"/>
      <c r="C11" s="36"/>
      <c r="D11" s="36"/>
      <c r="E11" s="37"/>
      <c r="F11" s="37"/>
      <c r="G11" s="5" t="s">
        <v>77</v>
      </c>
      <c r="H11" s="16">
        <v>8.4499999999999993</v>
      </c>
      <c r="I11" s="17" t="str">
        <f t="shared" si="0"/>
        <v>n/a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1.7935284900007784</v>
      </c>
      <c r="B20" s="8">
        <f>COUNT(H3:H17)</f>
        <v>9</v>
      </c>
      <c r="C20" s="9">
        <f>IF(B20&lt;2,"n/a",(A20/D20))</f>
        <v>0.2299395500000998</v>
      </c>
      <c r="D20" s="10">
        <f>IFERROR(ROUND(AVERAGE(H3:H17),2),"")</f>
        <v>7.8</v>
      </c>
      <c r="E20" s="15" t="str">
        <f>IFERROR(ROUND(IF(B20&lt;2,"n/a",(IF(C20&lt;=25%,"n/a",AVERAGE(I3:I17)))),2),"n/a")</f>
        <v>n/a</v>
      </c>
      <c r="F20" s="10">
        <f>IFERROR(ROUND(MEDIAN(H3:H17),2),"")</f>
        <v>8.4499999999999993</v>
      </c>
      <c r="G20" s="11" t="str">
        <f>IFERROR(INDEX(G3:G17,MATCH(H20,H3:H17,0)),"")</f>
        <v>E&amp;M COMERCIO DE MATERIAIS DE CONSTRUCAO LTDA</v>
      </c>
      <c r="H20" s="12">
        <f>F3</f>
        <v>5.8</v>
      </c>
    </row>
    <row r="22" spans="1:9" x14ac:dyDescent="0.25">
      <c r="G22" s="13" t="s">
        <v>20</v>
      </c>
      <c r="H22" s="14">
        <f>IF(C20&lt;=25%,D20,MIN(E20:F20))</f>
        <v>7.8</v>
      </c>
    </row>
    <row r="23" spans="1:9" x14ac:dyDescent="0.25">
      <c r="G23" s="13" t="s">
        <v>6</v>
      </c>
      <c r="H23" s="14">
        <f>ROUND(H22,2)*D3</f>
        <v>7800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40</v>
      </c>
      <c r="C3" s="36" t="s">
        <v>41</v>
      </c>
      <c r="D3" s="36">
        <v>1000</v>
      </c>
      <c r="E3" s="37">
        <f>IF(C20&lt;=25%,D20,MIN(E20:F20))</f>
        <v>16.78</v>
      </c>
      <c r="F3" s="37">
        <f>MIN(H3:H17)</f>
        <v>3.24</v>
      </c>
      <c r="G3" s="5" t="s">
        <v>78</v>
      </c>
      <c r="H3" s="16">
        <v>19.100000000000001</v>
      </c>
      <c r="I3" s="17">
        <f>IF(H3="","",(IF($C$20&lt;25%,"n/a",IF(H3&lt;=($D$20+$A$20),H3,"Descartado"))))</f>
        <v>19.100000000000001</v>
      </c>
    </row>
    <row r="4" spans="1:9" x14ac:dyDescent="0.25">
      <c r="A4" s="38"/>
      <c r="B4" s="35"/>
      <c r="C4" s="36"/>
      <c r="D4" s="36"/>
      <c r="E4" s="37"/>
      <c r="F4" s="37"/>
      <c r="G4" s="5" t="s">
        <v>79</v>
      </c>
      <c r="H4" s="16">
        <v>3.24</v>
      </c>
      <c r="I4" s="17">
        <f t="shared" ref="I4:I17" si="0">IF(H4="","",(IF($C$20&lt;25%,"n/a",IF(H4&lt;=($D$20+$A$20),H4,"Descartado"))))</f>
        <v>3.24</v>
      </c>
    </row>
    <row r="5" spans="1:9" x14ac:dyDescent="0.25">
      <c r="A5" s="38"/>
      <c r="B5" s="35"/>
      <c r="C5" s="36"/>
      <c r="D5" s="36"/>
      <c r="E5" s="37"/>
      <c r="F5" s="37"/>
      <c r="G5" s="5" t="s">
        <v>154</v>
      </c>
      <c r="H5" s="16">
        <f>0.18*100</f>
        <v>18</v>
      </c>
      <c r="I5" s="17">
        <f t="shared" si="0"/>
        <v>18</v>
      </c>
    </row>
    <row r="6" spans="1:9" x14ac:dyDescent="0.25">
      <c r="A6" s="38"/>
      <c r="B6" s="35"/>
      <c r="C6" s="36"/>
      <c r="D6" s="36"/>
      <c r="E6" s="37"/>
      <c r="F6" s="37"/>
      <c r="G6" s="5" t="s">
        <v>153</v>
      </c>
      <c r="H6" s="16">
        <f>0.23*100</f>
        <v>23</v>
      </c>
      <c r="I6" s="17">
        <f t="shared" si="0"/>
        <v>23</v>
      </c>
    </row>
    <row r="7" spans="1:9" x14ac:dyDescent="0.25">
      <c r="A7" s="38"/>
      <c r="B7" s="35"/>
      <c r="C7" s="36"/>
      <c r="D7" s="36"/>
      <c r="E7" s="37"/>
      <c r="F7" s="37"/>
      <c r="G7" s="5" t="s">
        <v>155</v>
      </c>
      <c r="H7" s="16">
        <f>0.15*100</f>
        <v>15</v>
      </c>
      <c r="I7" s="17">
        <f t="shared" si="0"/>
        <v>15</v>
      </c>
    </row>
    <row r="8" spans="1:9" x14ac:dyDescent="0.25">
      <c r="A8" s="38"/>
      <c r="B8" s="35"/>
      <c r="C8" s="36"/>
      <c r="D8" s="36"/>
      <c r="E8" s="37"/>
      <c r="F8" s="37"/>
      <c r="G8" s="5" t="s">
        <v>156</v>
      </c>
      <c r="H8" s="16">
        <f>0.39*100</f>
        <v>39</v>
      </c>
      <c r="I8" s="17" t="str">
        <f t="shared" si="0"/>
        <v>Descartado</v>
      </c>
    </row>
    <row r="9" spans="1:9" x14ac:dyDescent="0.25">
      <c r="A9" s="38"/>
      <c r="B9" s="35"/>
      <c r="C9" s="36"/>
      <c r="D9" s="36"/>
      <c r="E9" s="37"/>
      <c r="F9" s="37"/>
      <c r="G9" s="5" t="s">
        <v>157</v>
      </c>
      <c r="H9" s="16">
        <f>0.19*100</f>
        <v>19</v>
      </c>
      <c r="I9" s="17">
        <f t="shared" si="0"/>
        <v>19</v>
      </c>
    </row>
    <row r="10" spans="1:9" x14ac:dyDescent="0.25">
      <c r="A10" s="38"/>
      <c r="B10" s="35"/>
      <c r="C10" s="36"/>
      <c r="D10" s="36"/>
      <c r="E10" s="37"/>
      <c r="F10" s="37"/>
      <c r="G10" s="5" t="s">
        <v>158</v>
      </c>
      <c r="H10" s="16">
        <f>0.22*100</f>
        <v>22</v>
      </c>
      <c r="I10" s="17">
        <f t="shared" si="0"/>
        <v>22</v>
      </c>
    </row>
    <row r="11" spans="1:9" x14ac:dyDescent="0.25">
      <c r="A11" s="38"/>
      <c r="B11" s="35"/>
      <c r="C11" s="36"/>
      <c r="D11" s="36"/>
      <c r="E11" s="37"/>
      <c r="F11" s="37"/>
      <c r="G11" s="5" t="s">
        <v>159</v>
      </c>
      <c r="H11" s="16">
        <f>0.1488*100</f>
        <v>14.879999999999999</v>
      </c>
      <c r="I11" s="17">
        <f t="shared" si="0"/>
        <v>14.879999999999999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9.3995638196673799</v>
      </c>
      <c r="B20" s="8">
        <f>COUNT(H3:H17)</f>
        <v>9</v>
      </c>
      <c r="C20" s="9">
        <f>IF(B20&lt;2,"n/a",(A20/D20))</f>
        <v>0.48828902959311066</v>
      </c>
      <c r="D20" s="10">
        <f>IFERROR(ROUND(AVERAGE(H3:H17),2),"")</f>
        <v>19.25</v>
      </c>
      <c r="E20" s="15">
        <f>IFERROR(ROUND(IF(B20&lt;2,"n/a",(IF(C20&lt;=25%,"n/a",AVERAGE(I3:I17)))),2),"n/a")</f>
        <v>16.78</v>
      </c>
      <c r="F20" s="10">
        <f>IFERROR(ROUND(MEDIAN(H3:H17),2),"")</f>
        <v>19</v>
      </c>
      <c r="G20" s="11" t="str">
        <f>IFERROR(INDEX(G3:G17,MATCH(H20,H3:H17,0)),"")</f>
        <v>PABLO LUIS MARTINS</v>
      </c>
      <c r="H20" s="12">
        <f>F3</f>
        <v>3.24</v>
      </c>
    </row>
    <row r="22" spans="1:9" x14ac:dyDescent="0.25">
      <c r="G22" s="13" t="s">
        <v>20</v>
      </c>
      <c r="H22" s="14">
        <f>IF(C20&lt;=25%,D20,MIN(E20:F20))</f>
        <v>16.78</v>
      </c>
    </row>
    <row r="23" spans="1:9" x14ac:dyDescent="0.25">
      <c r="G23" s="13" t="s">
        <v>6</v>
      </c>
      <c r="H23" s="14">
        <f>ROUND(H22,2)*D3</f>
        <v>16780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42</v>
      </c>
      <c r="C3" s="36" t="s">
        <v>7</v>
      </c>
      <c r="D3" s="36">
        <v>3000</v>
      </c>
      <c r="E3" s="37">
        <f>IF(C20&lt;=25%,D20,MIN(E20:F20))</f>
        <v>2.92</v>
      </c>
      <c r="F3" s="37">
        <f>MIN(H3:H17)</f>
        <v>1.76</v>
      </c>
      <c r="G3" s="5" t="s">
        <v>80</v>
      </c>
      <c r="H3" s="16">
        <v>2.09</v>
      </c>
      <c r="I3" s="17">
        <f>IF(H3="","",(IF($C$20&lt;25%,"n/a",IF(H3&lt;=($D$20+$A$20),H3,"Descartado"))))</f>
        <v>2.09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2.08</v>
      </c>
      <c r="I4" s="17">
        <f t="shared" ref="I4:I17" si="0">IF(H4="","",(IF($C$20&lt;25%,"n/a",IF(H4&lt;=($D$20+$A$20),H4,"Descartado"))))</f>
        <v>2.08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2</v>
      </c>
      <c r="I5" s="17">
        <f t="shared" si="0"/>
        <v>2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5.68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 t="s">
        <v>84</v>
      </c>
      <c r="H7" s="16">
        <v>4.1100000000000003</v>
      </c>
      <c r="I7" s="17">
        <f t="shared" si="0"/>
        <v>4.1100000000000003</v>
      </c>
    </row>
    <row r="8" spans="1:9" x14ac:dyDescent="0.25">
      <c r="A8" s="38"/>
      <c r="B8" s="35"/>
      <c r="C8" s="36"/>
      <c r="D8" s="36"/>
      <c r="E8" s="37"/>
      <c r="F8" s="37"/>
      <c r="G8" s="5" t="s">
        <v>85</v>
      </c>
      <c r="H8" s="16">
        <v>3.6</v>
      </c>
      <c r="I8" s="17">
        <f t="shared" si="0"/>
        <v>3.6</v>
      </c>
    </row>
    <row r="9" spans="1:9" x14ac:dyDescent="0.25">
      <c r="A9" s="38"/>
      <c r="B9" s="35"/>
      <c r="C9" s="36"/>
      <c r="D9" s="36"/>
      <c r="E9" s="37"/>
      <c r="F9" s="37"/>
      <c r="G9" s="5" t="s">
        <v>86</v>
      </c>
      <c r="H9" s="16">
        <v>1.76</v>
      </c>
      <c r="I9" s="17">
        <f t="shared" si="0"/>
        <v>1.76</v>
      </c>
    </row>
    <row r="10" spans="1:9" x14ac:dyDescent="0.25">
      <c r="A10" s="38"/>
      <c r="B10" s="35"/>
      <c r="C10" s="36"/>
      <c r="D10" s="36"/>
      <c r="E10" s="37"/>
      <c r="F10" s="37"/>
      <c r="G10" s="5" t="s">
        <v>87</v>
      </c>
      <c r="H10" s="16">
        <v>1.98</v>
      </c>
      <c r="I10" s="17">
        <f t="shared" si="0"/>
        <v>1.98</v>
      </c>
    </row>
    <row r="11" spans="1:9" x14ac:dyDescent="0.25">
      <c r="A11" s="38"/>
      <c r="B11" s="35"/>
      <c r="C11" s="36"/>
      <c r="D11" s="36"/>
      <c r="E11" s="37"/>
      <c r="F11" s="37"/>
      <c r="G11" s="5" t="s">
        <v>88</v>
      </c>
      <c r="H11" s="16">
        <v>3.9</v>
      </c>
      <c r="I11" s="17">
        <f t="shared" si="0"/>
        <v>3.9</v>
      </c>
    </row>
    <row r="12" spans="1:9" x14ac:dyDescent="0.25">
      <c r="A12" s="38"/>
      <c r="B12" s="35"/>
      <c r="C12" s="36"/>
      <c r="D12" s="36"/>
      <c r="E12" s="37"/>
      <c r="F12" s="37"/>
      <c r="G12" s="5" t="s">
        <v>89</v>
      </c>
      <c r="H12" s="16">
        <v>6.58</v>
      </c>
      <c r="I12" s="17" t="str">
        <f t="shared" si="0"/>
        <v>Descartado</v>
      </c>
    </row>
    <row r="13" spans="1:9" x14ac:dyDescent="0.25">
      <c r="A13" s="38"/>
      <c r="B13" s="35"/>
      <c r="C13" s="36"/>
      <c r="D13" s="36"/>
      <c r="E13" s="37"/>
      <c r="F13" s="37"/>
      <c r="G13" s="5" t="s">
        <v>90</v>
      </c>
      <c r="H13" s="16">
        <v>4.75</v>
      </c>
      <c r="I13" s="17">
        <f t="shared" si="0"/>
        <v>4.75</v>
      </c>
    </row>
    <row r="14" spans="1:9" x14ac:dyDescent="0.25">
      <c r="A14" s="38"/>
      <c r="B14" s="35"/>
      <c r="C14" s="36"/>
      <c r="D14" s="36"/>
      <c r="E14" s="37"/>
      <c r="F14" s="37"/>
      <c r="G14" s="5" t="s">
        <v>91</v>
      </c>
      <c r="H14" s="16">
        <v>2.5</v>
      </c>
      <c r="I14" s="17">
        <f t="shared" si="0"/>
        <v>2.5</v>
      </c>
    </row>
    <row r="15" spans="1:9" x14ac:dyDescent="0.25">
      <c r="A15" s="38"/>
      <c r="B15" s="35"/>
      <c r="C15" s="36"/>
      <c r="D15" s="36"/>
      <c r="E15" s="37"/>
      <c r="F15" s="37"/>
      <c r="G15" s="5" t="s">
        <v>92</v>
      </c>
      <c r="H15" s="16">
        <v>3.4</v>
      </c>
      <c r="I15" s="17">
        <f t="shared" si="0"/>
        <v>3.4</v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1.5507479584926849</v>
      </c>
      <c r="B20" s="8">
        <f>COUNT(H3:H17)</f>
        <v>13</v>
      </c>
      <c r="C20" s="9">
        <f>IF(B20&lt;2,"n/a",(A20/D20))</f>
        <v>0.45343507558265639</v>
      </c>
      <c r="D20" s="10">
        <f>IFERROR(ROUND(AVERAGE(H3:H17),2),"")</f>
        <v>3.42</v>
      </c>
      <c r="E20" s="15">
        <f>IFERROR(ROUND(IF(B20&lt;2,"n/a",(IF(C20&lt;=25%,"n/a",AVERAGE(I3:I17)))),2),"n/a")</f>
        <v>2.92</v>
      </c>
      <c r="F20" s="10">
        <f>IFERROR(ROUND(MEDIAN(H3:H17),2),"")</f>
        <v>3.4</v>
      </c>
      <c r="G20" s="11" t="str">
        <f>IFERROR(INDEX(G3:G17,MATCH(H20,H3:H17,0)),"")</f>
        <v>A.M GRAFICA PAPELARIA E EDITORA LTDA</v>
      </c>
      <c r="H20" s="12">
        <f>F3</f>
        <v>1.76</v>
      </c>
    </row>
    <row r="22" spans="1:9" x14ac:dyDescent="0.25">
      <c r="G22" s="13" t="s">
        <v>20</v>
      </c>
      <c r="H22" s="14">
        <f>IF(C20&lt;=25%,D20,MIN(E20:F20))</f>
        <v>2.92</v>
      </c>
    </row>
    <row r="23" spans="1:9" x14ac:dyDescent="0.25">
      <c r="G23" s="13" t="s">
        <v>6</v>
      </c>
      <c r="H23" s="14">
        <f>ROUND(H22,2)*D3</f>
        <v>8760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43</v>
      </c>
      <c r="C3" s="36" t="s">
        <v>7</v>
      </c>
      <c r="D3" s="36">
        <v>15000</v>
      </c>
      <c r="E3" s="37">
        <f>IF(C20&lt;=25%,D20,MIN(E20:F20))</f>
        <v>8.41</v>
      </c>
      <c r="F3" s="37">
        <f>MIN(H3:H17)</f>
        <v>2.76</v>
      </c>
      <c r="G3" s="5" t="s">
        <v>35</v>
      </c>
      <c r="H3" s="16">
        <v>2.76</v>
      </c>
      <c r="I3" s="17">
        <f>IF(H3="","",(IF($C$20&lt;25%,"n/a",IF(H3&lt;=($D$20+$A$20),H3,"Descartado"))))</f>
        <v>2.76</v>
      </c>
    </row>
    <row r="4" spans="1:9" x14ac:dyDescent="0.25">
      <c r="A4" s="38"/>
      <c r="B4" s="35"/>
      <c r="C4" s="36"/>
      <c r="D4" s="36"/>
      <c r="E4" s="37"/>
      <c r="F4" s="37"/>
      <c r="G4" s="5" t="s">
        <v>93</v>
      </c>
      <c r="H4" s="16">
        <v>10.5</v>
      </c>
      <c r="I4" s="17">
        <f t="shared" ref="I4:I17" si="0">IF(H4="","",(IF($C$20&lt;25%,"n/a",IF(H4&lt;=($D$20+$A$20),H4,"Descartado"))))</f>
        <v>10.5</v>
      </c>
    </row>
    <row r="5" spans="1:9" x14ac:dyDescent="0.25">
      <c r="A5" s="38"/>
      <c r="B5" s="35"/>
      <c r="C5" s="36"/>
      <c r="D5" s="36"/>
      <c r="E5" s="37"/>
      <c r="F5" s="37"/>
      <c r="G5" s="5" t="s">
        <v>94</v>
      </c>
      <c r="H5" s="16">
        <v>8.99</v>
      </c>
      <c r="I5" s="17">
        <f t="shared" si="0"/>
        <v>8.99</v>
      </c>
    </row>
    <row r="6" spans="1:9" x14ac:dyDescent="0.25">
      <c r="A6" s="38"/>
      <c r="B6" s="35"/>
      <c r="C6" s="36"/>
      <c r="D6" s="36"/>
      <c r="E6" s="37"/>
      <c r="F6" s="37"/>
      <c r="G6" s="5" t="s">
        <v>95</v>
      </c>
      <c r="H6" s="16">
        <v>11.3965</v>
      </c>
      <c r="I6" s="17">
        <f t="shared" si="0"/>
        <v>11.3965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3.8964159466318087</v>
      </c>
      <c r="B20" s="8">
        <f>COUNT(H3:H17)</f>
        <v>4</v>
      </c>
      <c r="C20" s="9">
        <f>IF(B20&lt;2,"n/a",(A20/D20))</f>
        <v>0.46330748473624361</v>
      </c>
      <c r="D20" s="10">
        <f>IFERROR(ROUND(AVERAGE(H3:H17),2),"")</f>
        <v>8.41</v>
      </c>
      <c r="E20" s="15">
        <f>IFERROR(ROUND(IF(B20&lt;2,"n/a",(IF(C20&lt;=25%,"n/a",AVERAGE(I3:I17)))),2),"n/a")</f>
        <v>8.41</v>
      </c>
      <c r="F20" s="10">
        <f>IFERROR(ROUND(MEDIAN(H3:H17),2),"")</f>
        <v>9.75</v>
      </c>
      <c r="G20" s="11" t="str">
        <f>IFERROR(INDEX(G3:G17,MATCH(H20,H3:H17,0)),"")</f>
        <v>SMART SOLUTIONS - SOLUCOES INTELIGENTES EM COMERCIO E SERVICOS LTDA</v>
      </c>
      <c r="H20" s="12">
        <f>F3</f>
        <v>2.76</v>
      </c>
    </row>
    <row r="22" spans="1:9" x14ac:dyDescent="0.25">
      <c r="G22" s="13" t="s">
        <v>20</v>
      </c>
      <c r="H22" s="14">
        <f>IF(C20&lt;=25%,D20,MIN(E20:F20))</f>
        <v>8.41</v>
      </c>
    </row>
    <row r="23" spans="1:9" x14ac:dyDescent="0.25">
      <c r="G23" s="13" t="s">
        <v>6</v>
      </c>
      <c r="H23" s="14">
        <f>ROUND(H22,2)*D3</f>
        <v>126150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0" sqref="H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44</v>
      </c>
      <c r="C3" s="36" t="s">
        <v>7</v>
      </c>
      <c r="D3" s="36">
        <v>10000</v>
      </c>
      <c r="E3" s="37">
        <f>IF(C20&lt;=25%,D20,MIN(E20:F20))</f>
        <v>3.86</v>
      </c>
      <c r="F3" s="37">
        <f>MIN(H3:H17)</f>
        <v>3.1659847400000003</v>
      </c>
      <c r="G3" s="5" t="s">
        <v>160</v>
      </c>
      <c r="H3" s="16">
        <f>3.1*1.0212854</f>
        <v>3.1659847400000003</v>
      </c>
      <c r="I3" s="17">
        <f>IF(H3="","",(IF($C$20&lt;25%,"n/a",IF(H3&lt;=($D$20+$A$20),H3,"Descartado"))))</f>
        <v>3.1659847400000003</v>
      </c>
    </row>
    <row r="4" spans="1:9" x14ac:dyDescent="0.25">
      <c r="A4" s="38"/>
      <c r="B4" s="35"/>
      <c r="C4" s="36"/>
      <c r="D4" s="36"/>
      <c r="E4" s="37"/>
      <c r="F4" s="37"/>
      <c r="G4" s="5" t="s">
        <v>161</v>
      </c>
      <c r="H4" s="16">
        <f>3.85*1.0212854</f>
        <v>3.9319487900000003</v>
      </c>
      <c r="I4" s="17">
        <f t="shared" ref="I4:I17" si="0">IF(H4="","",(IF($C$20&lt;25%,"n/a",IF(H4&lt;=($D$20+$A$20),H4,"Descartado"))))</f>
        <v>3.9319487900000003</v>
      </c>
    </row>
    <row r="5" spans="1:9" x14ac:dyDescent="0.25">
      <c r="A5" s="38"/>
      <c r="B5" s="35"/>
      <c r="C5" s="36"/>
      <c r="D5" s="36"/>
      <c r="E5" s="37"/>
      <c r="F5" s="37"/>
      <c r="G5" s="5" t="s">
        <v>166</v>
      </c>
      <c r="H5" s="16">
        <v>3.77</v>
      </c>
      <c r="I5" s="17">
        <f t="shared" si="0"/>
        <v>3.77</v>
      </c>
    </row>
    <row r="6" spans="1:9" x14ac:dyDescent="0.25">
      <c r="A6" s="38"/>
      <c r="B6" s="35"/>
      <c r="C6" s="36"/>
      <c r="D6" s="36"/>
      <c r="E6" s="37"/>
      <c r="F6" s="37"/>
      <c r="G6" s="5" t="s">
        <v>167</v>
      </c>
      <c r="H6" s="16">
        <v>4.7</v>
      </c>
      <c r="I6" s="17">
        <f t="shared" si="0"/>
        <v>4.7</v>
      </c>
    </row>
    <row r="7" spans="1:9" x14ac:dyDescent="0.25">
      <c r="A7" s="38"/>
      <c r="B7" s="35"/>
      <c r="C7" s="36"/>
      <c r="D7" s="36"/>
      <c r="E7" s="37"/>
      <c r="F7" s="37"/>
      <c r="G7" s="5" t="s">
        <v>164</v>
      </c>
      <c r="H7" s="16">
        <v>3.26</v>
      </c>
      <c r="I7" s="17">
        <f t="shared" si="0"/>
        <v>3.26</v>
      </c>
    </row>
    <row r="8" spans="1:9" x14ac:dyDescent="0.25">
      <c r="A8" s="38"/>
      <c r="B8" s="35"/>
      <c r="C8" s="36"/>
      <c r="D8" s="36"/>
      <c r="E8" s="37"/>
      <c r="F8" s="37"/>
      <c r="G8" s="5" t="s">
        <v>165</v>
      </c>
      <c r="H8" s="16">
        <v>4.34</v>
      </c>
      <c r="I8" s="17">
        <f t="shared" si="0"/>
        <v>4.34</v>
      </c>
    </row>
    <row r="9" spans="1:9" x14ac:dyDescent="0.25">
      <c r="A9" s="38"/>
      <c r="B9" s="35"/>
      <c r="C9" s="36"/>
      <c r="D9" s="36"/>
      <c r="E9" s="37"/>
      <c r="F9" s="37"/>
      <c r="G9" s="5" t="s">
        <v>168</v>
      </c>
      <c r="H9" s="16">
        <v>8.4700000000000006</v>
      </c>
      <c r="I9" s="17" t="str">
        <f t="shared" si="0"/>
        <v>Descartado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1.8255848807004604</v>
      </c>
      <c r="B20" s="8">
        <f>COUNT(H3:H17)</f>
        <v>7</v>
      </c>
      <c r="C20" s="9">
        <f>IF(B20&lt;2,"n/a",(A20/D20))</f>
        <v>0.4038904603319603</v>
      </c>
      <c r="D20" s="10">
        <f>IFERROR(ROUND(AVERAGE(H3:H17),2),"")</f>
        <v>4.5199999999999996</v>
      </c>
      <c r="E20" s="15">
        <f>IFERROR(ROUND(IF(B20&lt;2,"n/a",(IF(C20&lt;=25%,"n/a",AVERAGE(I3:I17)))),2),"n/a")</f>
        <v>3.86</v>
      </c>
      <c r="F20" s="10">
        <f>IFERROR(ROUND(MEDIAN(H3:H17),2),"")</f>
        <v>3.93</v>
      </c>
      <c r="G20" s="11" t="str">
        <f>IFERROR(INDEX(G3:G17,MATCH(H20,H3:H17,0)),"")</f>
        <v xml:space="preserve">DANIELA FRASSI EMBALAGENS LTDA </v>
      </c>
      <c r="H20" s="12">
        <f>F3</f>
        <v>3.1659847400000003</v>
      </c>
    </row>
    <row r="22" spans="1:9" x14ac:dyDescent="0.25">
      <c r="G22" s="13" t="s">
        <v>20</v>
      </c>
      <c r="H22" s="14">
        <f>IF(C20&lt;=25%,D20,MIN(E20:F20))</f>
        <v>3.86</v>
      </c>
    </row>
    <row r="23" spans="1:9" x14ac:dyDescent="0.25">
      <c r="G23" s="13" t="s">
        <v>6</v>
      </c>
      <c r="H23" s="14">
        <f>ROUND(H22,2)*D3</f>
        <v>38600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45</v>
      </c>
      <c r="C3" s="36" t="s">
        <v>37</v>
      </c>
      <c r="D3" s="36">
        <v>500</v>
      </c>
      <c r="E3" s="37">
        <f>IF(C20&lt;=25%,D20,MIN(E20:F20))</f>
        <v>12.28</v>
      </c>
      <c r="F3" s="37">
        <f>MIN(H3:H17)</f>
        <v>6.65</v>
      </c>
      <c r="G3" s="5" t="s">
        <v>96</v>
      </c>
      <c r="H3" s="16">
        <v>19.010000000000002</v>
      </c>
      <c r="I3" s="17">
        <f>IF(H3="","",(IF($C$20&lt;25%,"n/a",IF(H3&lt;=($D$20+$A$20),H3,"Descartado"))))</f>
        <v>19.010000000000002</v>
      </c>
    </row>
    <row r="4" spans="1:9" x14ac:dyDescent="0.25">
      <c r="A4" s="38"/>
      <c r="B4" s="35"/>
      <c r="C4" s="36"/>
      <c r="D4" s="36"/>
      <c r="E4" s="37"/>
      <c r="F4" s="37"/>
      <c r="G4" s="5" t="s">
        <v>97</v>
      </c>
      <c r="H4" s="16">
        <v>23.2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72</v>
      </c>
      <c r="H5" s="16">
        <v>15.6</v>
      </c>
      <c r="I5" s="17">
        <f t="shared" si="0"/>
        <v>15.6</v>
      </c>
    </row>
    <row r="6" spans="1:9" x14ac:dyDescent="0.25">
      <c r="A6" s="38"/>
      <c r="B6" s="35"/>
      <c r="C6" s="36"/>
      <c r="D6" s="36"/>
      <c r="E6" s="37"/>
      <c r="F6" s="37"/>
      <c r="G6" s="5" t="s">
        <v>98</v>
      </c>
      <c r="H6" s="16">
        <v>7.86</v>
      </c>
      <c r="I6" s="17">
        <f t="shared" si="0"/>
        <v>7.86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6.65</v>
      </c>
      <c r="I7" s="17">
        <f t="shared" si="0"/>
        <v>6.65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7.122950933426397</v>
      </c>
      <c r="B20" s="8">
        <f>COUNT(H3:H17)</f>
        <v>5</v>
      </c>
      <c r="C20" s="9">
        <f>IF(B20&lt;2,"n/a",(A20/D20))</f>
        <v>0.49259688336282131</v>
      </c>
      <c r="D20" s="10">
        <f>IFERROR(ROUND(AVERAGE(H3:H17),2),"")</f>
        <v>14.46</v>
      </c>
      <c r="E20" s="15">
        <f>IFERROR(ROUND(IF(B20&lt;2,"n/a",(IF(C20&lt;=25%,"n/a",AVERAGE(I3:I17)))),2),"n/a")</f>
        <v>12.28</v>
      </c>
      <c r="F20" s="10">
        <f>IFERROR(ROUND(MEDIAN(H3:H17),2),"")</f>
        <v>15.6</v>
      </c>
      <c r="G20" s="11" t="str">
        <f>IFERROR(INDEX(G3:G17,MATCH(H20,H3:H17,0)),"")</f>
        <v>RBQ COMERCIAL LTDA</v>
      </c>
      <c r="H20" s="12">
        <f>F3</f>
        <v>6.65</v>
      </c>
    </row>
    <row r="22" spans="1:9" x14ac:dyDescent="0.25">
      <c r="G22" s="13" t="s">
        <v>20</v>
      </c>
      <c r="H22" s="14">
        <f>IF(C20&lt;=25%,D20,MIN(E20:F20))</f>
        <v>12.28</v>
      </c>
    </row>
    <row r="23" spans="1:9" x14ac:dyDescent="0.25">
      <c r="G23" s="13" t="s">
        <v>6</v>
      </c>
      <c r="H23" s="14">
        <f>ROUND(H22,2)*D3</f>
        <v>6140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46</v>
      </c>
      <c r="C3" s="36" t="s">
        <v>37</v>
      </c>
      <c r="D3" s="36">
        <v>400</v>
      </c>
      <c r="E3" s="37">
        <f>IF(C20&lt;=25%,D20,MIN(E20:F20))</f>
        <v>16.39</v>
      </c>
      <c r="F3" s="37">
        <f>MIN(H3:H17)</f>
        <v>7.15</v>
      </c>
      <c r="G3" s="5" t="s">
        <v>99</v>
      </c>
      <c r="H3" s="16">
        <v>24.9</v>
      </c>
      <c r="I3" s="17">
        <f>IF(H3="","",(IF($C$20&lt;25%,"n/a",IF(H3&lt;=($D$20+$A$20),H3,"Descartado"))))</f>
        <v>24.9</v>
      </c>
    </row>
    <row r="4" spans="1:9" x14ac:dyDescent="0.25">
      <c r="A4" s="38"/>
      <c r="B4" s="35"/>
      <c r="C4" s="36"/>
      <c r="D4" s="36"/>
      <c r="E4" s="37"/>
      <c r="F4" s="37"/>
      <c r="G4" s="5" t="s">
        <v>162</v>
      </c>
      <c r="H4" s="16">
        <v>9.9</v>
      </c>
      <c r="I4" s="17">
        <f t="shared" ref="I4:I17" si="0">IF(H4="","",(IF($C$20&lt;25%,"n/a",IF(H4&lt;=($D$20+$A$20),H4,"Descartado"))))</f>
        <v>9.9</v>
      </c>
    </row>
    <row r="5" spans="1:9" x14ac:dyDescent="0.25">
      <c r="A5" s="38"/>
      <c r="B5" s="35"/>
      <c r="C5" s="36"/>
      <c r="D5" s="36"/>
      <c r="E5" s="37"/>
      <c r="F5" s="37"/>
      <c r="G5" s="5" t="s">
        <v>176</v>
      </c>
      <c r="H5" s="16">
        <v>7.15</v>
      </c>
      <c r="I5" s="17">
        <f t="shared" si="0"/>
        <v>7.15</v>
      </c>
    </row>
    <row r="6" spans="1:9" x14ac:dyDescent="0.25">
      <c r="A6" s="38"/>
      <c r="B6" s="35"/>
      <c r="C6" s="36"/>
      <c r="D6" s="36"/>
      <c r="E6" s="37"/>
      <c r="F6" s="37"/>
      <c r="G6" s="5" t="s">
        <v>222</v>
      </c>
      <c r="H6" s="16">
        <v>16</v>
      </c>
      <c r="I6" s="17">
        <f t="shared" si="0"/>
        <v>16</v>
      </c>
    </row>
    <row r="7" spans="1:9" x14ac:dyDescent="0.25">
      <c r="A7" s="38"/>
      <c r="B7" s="35"/>
      <c r="C7" s="36"/>
      <c r="D7" s="36"/>
      <c r="E7" s="37"/>
      <c r="F7" s="37"/>
      <c r="G7" s="5" t="s">
        <v>223</v>
      </c>
      <c r="H7" s="16">
        <v>24</v>
      </c>
      <c r="I7" s="17">
        <f t="shared" si="0"/>
        <v>24</v>
      </c>
    </row>
    <row r="8" spans="1:9" x14ac:dyDescent="0.25">
      <c r="A8" s="38"/>
      <c r="B8" s="35"/>
      <c r="C8" s="36"/>
      <c r="D8" s="36"/>
      <c r="E8" s="37"/>
      <c r="F8" s="37"/>
      <c r="G8" s="5" t="s">
        <v>224</v>
      </c>
      <c r="H8" s="16">
        <v>36</v>
      </c>
      <c r="I8" s="17" t="str">
        <f t="shared" si="0"/>
        <v>Descartado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10.755854994683908</v>
      </c>
      <c r="B20" s="8">
        <f>COUNT(H3:H17)</f>
        <v>6</v>
      </c>
      <c r="C20" s="9">
        <f>IF(B20&lt;2,"n/a",(A20/D20))</f>
        <v>0.54709333645391189</v>
      </c>
      <c r="D20" s="10">
        <f>IFERROR(ROUND(AVERAGE(H3:H17),2),"")</f>
        <v>19.66</v>
      </c>
      <c r="E20" s="15">
        <f>IFERROR(ROUND(IF(B20&lt;2,"n/a",(IF(C20&lt;=25%,"n/a",AVERAGE(I3:I17)))),2),"n/a")</f>
        <v>16.39</v>
      </c>
      <c r="F20" s="10">
        <f>IFERROR(ROUND(MEDIAN(H3:H17),2),"")</f>
        <v>20</v>
      </c>
      <c r="G20" s="11" t="str">
        <f>IFERROR(INDEX(G3:G17,MATCH(H20,H3:H17,0)),"")</f>
        <v xml:space="preserve">LRF DISTRIBUIDORA LTDA </v>
      </c>
      <c r="H20" s="12">
        <f>F3</f>
        <v>7.15</v>
      </c>
    </row>
    <row r="22" spans="1:9" x14ac:dyDescent="0.25">
      <c r="G22" s="13" t="s">
        <v>20</v>
      </c>
      <c r="H22" s="14">
        <f>IF(C20&lt;=25%,D20,MIN(E20:F20))</f>
        <v>16.39</v>
      </c>
    </row>
    <row r="23" spans="1:9" x14ac:dyDescent="0.25">
      <c r="G23" s="13" t="s">
        <v>6</v>
      </c>
      <c r="H23" s="14">
        <f>ROUND(H22,2)*D3</f>
        <v>6556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2024-04-09T13:28:23Z</dcterms:modified>
</cp:coreProperties>
</file>